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365" tabRatio="911" firstSheet="6" activeTab="14"/>
  </bookViews>
  <sheets>
    <sheet name="Realisasi Pendapatan" sheetId="4" r:id="rId1"/>
    <sheet name="Realisasi Belanja" sheetId="5" r:id="rId2"/>
    <sheet name="Realisasi aparatur" sheetId="1" r:id="rId3"/>
    <sheet name="Analisis" sheetId="14" r:id="rId4"/>
    <sheet name="Realisasi Wajib dan mengikat" sheetId="13" r:id="rId5"/>
    <sheet name="Proyeksi Wajib dan mengikat " sheetId="15" r:id="rId6"/>
    <sheet name="Tutup Defisit" sheetId="16" r:id="rId7"/>
    <sheet name="Komposisi Tutup Defisit" sheetId="17" r:id="rId8"/>
    <sheet name="Realisasi Silpa" sheetId="18" r:id="rId9"/>
    <sheet name="Silpa Riil" sheetId="19" r:id="rId10"/>
    <sheet name="Proyeksi Silpa Riil" sheetId="20" r:id="rId11"/>
    <sheet name="Kapasitas Riil" sheetId="22" r:id="rId12"/>
    <sheet name="Ren. penggu kapas. riil" sheetId="23" r:id="rId13"/>
    <sheet name="Kerangka Pendanaan" sheetId="26" r:id="rId14"/>
    <sheet name="APBD" sheetId="21" r:id="rId15"/>
    <sheet name="APBD (2)" sheetId="25" r:id="rId16"/>
    <sheet name="Kap Riil" sheetId="10" r:id="rId17"/>
    <sheet name="Defisit" sheetId="2" r:id="rId18"/>
    <sheet name="Realisasi pembiayaan" sheetId="11" r:id="rId19"/>
    <sheet name="Renacana pendapatan" sheetId="6" r:id="rId20"/>
    <sheet name="Pro-Pdpt" sheetId="7" r:id="rId21"/>
    <sheet name="BELANJA WAJIB (2)" sheetId="8" r:id="rId22"/>
    <sheet name="Pro-Blj" sheetId="9" r:id="rId23"/>
    <sheet name="rekap blj wajib" sheetId="3" r:id="rId24"/>
    <sheet name="Rencana Pembiayaan" sheetId="12" r:id="rId25"/>
    <sheet name="Sheet12" sheetId="24" r:id="rId26"/>
  </sheets>
  <externalReferences>
    <externalReference r:id="rId27"/>
    <externalReference r:id="rId28"/>
    <externalReference r:id="rId29"/>
  </externalReferences>
  <definedNames>
    <definedName name="_xlnm.Print_Area" localSheetId="14">APBD!$B$41:$R$54</definedName>
    <definedName name="_xlnm.Print_Area" localSheetId="15">'APBD (2)'!$B$3:$N$61</definedName>
    <definedName name="_xlnm.Print_Area" localSheetId="16">'Kap Riil'!$B$1:$H$57</definedName>
    <definedName name="_xlnm.Print_Area" localSheetId="5">'Proyeksi Wajib dan mengikat '!$B$1:$O$32</definedName>
    <definedName name="_xlnm.Print_Area" localSheetId="19">'Renacana pendapatan'!$A$4:$O$193</definedName>
    <definedName name="_xlnm.Print_Titles" localSheetId="19">'Renacana pendapatan'!$5:$8</definedName>
  </definedNames>
  <calcPr calcId="124519"/>
</workbook>
</file>

<file path=xl/calcChain.xml><?xml version="1.0" encoding="utf-8"?>
<calcChain xmlns="http://schemas.openxmlformats.org/spreadsheetml/2006/main">
  <c r="Q16" i="6"/>
  <c r="Q12"/>
  <c r="P8" i="7" l="1"/>
  <c r="M13"/>
  <c r="M12"/>
  <c r="M10"/>
  <c r="M9"/>
  <c r="M8"/>
  <c r="M7"/>
  <c r="I41" i="23"/>
  <c r="K69" i="25"/>
  <c r="L69"/>
  <c r="M69"/>
  <c r="N69"/>
  <c r="J69"/>
  <c r="J64"/>
  <c r="L129"/>
  <c r="N129" s="1"/>
  <c r="L128"/>
  <c r="N128" s="1"/>
  <c r="L127"/>
  <c r="N127" s="1"/>
  <c r="L126"/>
  <c r="N126" s="1"/>
  <c r="N123"/>
  <c r="M123"/>
  <c r="L123"/>
  <c r="K123"/>
  <c r="N57"/>
  <c r="M57"/>
  <c r="L57"/>
  <c r="K57"/>
  <c r="N54"/>
  <c r="M54"/>
  <c r="L54"/>
  <c r="K54"/>
  <c r="J54"/>
  <c r="I54"/>
  <c r="H54"/>
  <c r="G54"/>
  <c r="F54"/>
  <c r="E54"/>
  <c r="D54"/>
  <c r="C54"/>
  <c r="J48"/>
  <c r="N47"/>
  <c r="M47"/>
  <c r="L47"/>
  <c r="K47"/>
  <c r="J47"/>
  <c r="H47"/>
  <c r="E47"/>
  <c r="D47"/>
  <c r="C47"/>
  <c r="N46"/>
  <c r="M46"/>
  <c r="L46"/>
  <c r="K46"/>
  <c r="J46"/>
  <c r="H46"/>
  <c r="E46"/>
  <c r="D46"/>
  <c r="C46"/>
  <c r="I41"/>
  <c r="I40"/>
  <c r="I39"/>
  <c r="I37"/>
  <c r="H37"/>
  <c r="G37"/>
  <c r="F37"/>
  <c r="E37"/>
  <c r="D37"/>
  <c r="C37"/>
  <c r="J36"/>
  <c r="I36"/>
  <c r="J35"/>
  <c r="K35" s="1"/>
  <c r="L35" s="1"/>
  <c r="M35" s="1"/>
  <c r="N35" s="1"/>
  <c r="I35"/>
  <c r="J34"/>
  <c r="I34"/>
  <c r="J33"/>
  <c r="K33" s="1"/>
  <c r="L33" s="1"/>
  <c r="M33" s="1"/>
  <c r="N33" s="1"/>
  <c r="O33" s="1"/>
  <c r="I33"/>
  <c r="J32"/>
  <c r="K32" s="1"/>
  <c r="I32"/>
  <c r="N31"/>
  <c r="M31"/>
  <c r="L31"/>
  <c r="K31"/>
  <c r="J31"/>
  <c r="I31"/>
  <c r="N30"/>
  <c r="N26" s="1"/>
  <c r="N27" s="1"/>
  <c r="M30"/>
  <c r="M26" s="1"/>
  <c r="M27" s="1"/>
  <c r="L30"/>
  <c r="L26" s="1"/>
  <c r="L27" s="1"/>
  <c r="K30"/>
  <c r="K26" s="1"/>
  <c r="K27" s="1"/>
  <c r="J30"/>
  <c r="J123" s="1"/>
  <c r="I30"/>
  <c r="I24" s="1"/>
  <c r="I23" s="1"/>
  <c r="H24"/>
  <c r="G24"/>
  <c r="F24"/>
  <c r="E24"/>
  <c r="D24"/>
  <c r="C24"/>
  <c r="H23"/>
  <c r="H43" s="1"/>
  <c r="G23"/>
  <c r="F23"/>
  <c r="E23"/>
  <c r="D23"/>
  <c r="C23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J16"/>
  <c r="I16"/>
  <c r="G16"/>
  <c r="F16"/>
  <c r="E16"/>
  <c r="D16"/>
  <c r="C16"/>
  <c r="K15"/>
  <c r="L15" s="1"/>
  <c r="N14"/>
  <c r="M14"/>
  <c r="L14"/>
  <c r="K14"/>
  <c r="N13"/>
  <c r="M13"/>
  <c r="L13"/>
  <c r="K13"/>
  <c r="N12"/>
  <c r="M12"/>
  <c r="L12"/>
  <c r="K12"/>
  <c r="K11"/>
  <c r="J11"/>
  <c r="I11"/>
  <c r="G11"/>
  <c r="F11"/>
  <c r="E11"/>
  <c r="D11"/>
  <c r="C11"/>
  <c r="N10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J6"/>
  <c r="I6"/>
  <c r="G6"/>
  <c r="F6"/>
  <c r="E6"/>
  <c r="D6"/>
  <c r="C6"/>
  <c r="K5"/>
  <c r="K64" s="1"/>
  <c r="J5"/>
  <c r="I5"/>
  <c r="G5"/>
  <c r="F5"/>
  <c r="F43" s="1"/>
  <c r="E5"/>
  <c r="D5"/>
  <c r="D43" s="1"/>
  <c r="C5"/>
  <c r="L9" i="15"/>
  <c r="G41" i="23" s="1"/>
  <c r="M9" i="15"/>
  <c r="H41" i="23" s="1"/>
  <c r="N9" i="15"/>
  <c r="O9"/>
  <c r="J41" i="23" s="1"/>
  <c r="L24" i="15"/>
  <c r="M24"/>
  <c r="N24"/>
  <c r="O24"/>
  <c r="K24"/>
  <c r="J24"/>
  <c r="D29" i="23"/>
  <c r="E13"/>
  <c r="J12"/>
  <c r="E12"/>
  <c r="F11"/>
  <c r="E11"/>
  <c r="E16" s="1"/>
  <c r="E14" i="22"/>
  <c r="E13"/>
  <c r="J13"/>
  <c r="F12"/>
  <c r="E12"/>
  <c r="E17" s="1"/>
  <c r="N121" i="21"/>
  <c r="R121" s="1"/>
  <c r="N120"/>
  <c r="R120" s="1"/>
  <c r="N119"/>
  <c r="R119" s="1"/>
  <c r="N118"/>
  <c r="R118" s="1"/>
  <c r="R115"/>
  <c r="P115"/>
  <c r="N115"/>
  <c r="L115"/>
  <c r="R52"/>
  <c r="P52"/>
  <c r="N52"/>
  <c r="L52"/>
  <c r="R49"/>
  <c r="P49"/>
  <c r="N49"/>
  <c r="L49"/>
  <c r="J49"/>
  <c r="I49"/>
  <c r="H49"/>
  <c r="G49"/>
  <c r="F49"/>
  <c r="E49"/>
  <c r="D49"/>
  <c r="C49"/>
  <c r="J43"/>
  <c r="R42"/>
  <c r="P42"/>
  <c r="N42"/>
  <c r="L42"/>
  <c r="J42"/>
  <c r="H42"/>
  <c r="E42"/>
  <c r="D42"/>
  <c r="C42"/>
  <c r="R41"/>
  <c r="P41"/>
  <c r="N41"/>
  <c r="L41"/>
  <c r="J41"/>
  <c r="H41"/>
  <c r="E41"/>
  <c r="D41"/>
  <c r="C41"/>
  <c r="R36"/>
  <c r="P36"/>
  <c r="N36"/>
  <c r="L36"/>
  <c r="J36"/>
  <c r="I36"/>
  <c r="L35"/>
  <c r="I35"/>
  <c r="I32" s="1"/>
  <c r="N34"/>
  <c r="P34" s="1"/>
  <c r="I34"/>
  <c r="N32"/>
  <c r="L32"/>
  <c r="J32"/>
  <c r="H32"/>
  <c r="G32"/>
  <c r="F32"/>
  <c r="E32"/>
  <c r="D32"/>
  <c r="C32"/>
  <c r="J31"/>
  <c r="I31"/>
  <c r="J30"/>
  <c r="L30" s="1"/>
  <c r="N30" s="1"/>
  <c r="P30" s="1"/>
  <c r="R30" s="1"/>
  <c r="I30"/>
  <c r="J29"/>
  <c r="I29"/>
  <c r="J28"/>
  <c r="L28" s="1"/>
  <c r="N28" s="1"/>
  <c r="P28" s="1"/>
  <c r="R28" s="1"/>
  <c r="S28" s="1"/>
  <c r="I28"/>
  <c r="J27"/>
  <c r="L27" s="1"/>
  <c r="G50" i="23" s="1"/>
  <c r="I27" i="21"/>
  <c r="P26"/>
  <c r="J26"/>
  <c r="I26"/>
  <c r="R25"/>
  <c r="P25"/>
  <c r="N25"/>
  <c r="L25"/>
  <c r="J25"/>
  <c r="J115" s="1"/>
  <c r="I25"/>
  <c r="H24"/>
  <c r="G24"/>
  <c r="F24"/>
  <c r="E24"/>
  <c r="D24"/>
  <c r="C24"/>
  <c r="H23"/>
  <c r="H38" s="1"/>
  <c r="G23"/>
  <c r="F23"/>
  <c r="E23"/>
  <c r="D23"/>
  <c r="C23"/>
  <c r="R20"/>
  <c r="P20"/>
  <c r="N20"/>
  <c r="L20"/>
  <c r="R19"/>
  <c r="P19"/>
  <c r="N19"/>
  <c r="L19"/>
  <c r="R18"/>
  <c r="P18"/>
  <c r="N18"/>
  <c r="L18"/>
  <c r="R17"/>
  <c r="P17"/>
  <c r="N17"/>
  <c r="L17"/>
  <c r="R16"/>
  <c r="P16"/>
  <c r="N16"/>
  <c r="L16"/>
  <c r="J16"/>
  <c r="I16"/>
  <c r="G16"/>
  <c r="F16"/>
  <c r="E16"/>
  <c r="D16"/>
  <c r="C16"/>
  <c r="L15"/>
  <c r="N15" s="1"/>
  <c r="R14"/>
  <c r="P14"/>
  <c r="N14"/>
  <c r="L14"/>
  <c r="R13"/>
  <c r="P13"/>
  <c r="N13"/>
  <c r="L13"/>
  <c r="R12"/>
  <c r="P12"/>
  <c r="N12"/>
  <c r="L12"/>
  <c r="L11" s="1"/>
  <c r="J11"/>
  <c r="I11"/>
  <c r="G11"/>
  <c r="F11"/>
  <c r="E11"/>
  <c r="D11"/>
  <c r="C11"/>
  <c r="R10"/>
  <c r="P10"/>
  <c r="N10"/>
  <c r="L10"/>
  <c r="R9"/>
  <c r="P9"/>
  <c r="N9"/>
  <c r="L9"/>
  <c r="R8"/>
  <c r="P8"/>
  <c r="N8"/>
  <c r="L8"/>
  <c r="R7"/>
  <c r="R6" s="1"/>
  <c r="P7"/>
  <c r="P6" s="1"/>
  <c r="N7"/>
  <c r="N6" s="1"/>
  <c r="L7"/>
  <c r="L6" s="1"/>
  <c r="J6"/>
  <c r="I6"/>
  <c r="G6"/>
  <c r="F6"/>
  <c r="E6"/>
  <c r="D6"/>
  <c r="C6"/>
  <c r="J5"/>
  <c r="I5"/>
  <c r="G5"/>
  <c r="G38" s="1"/>
  <c r="F5"/>
  <c r="F38" s="1"/>
  <c r="E5"/>
  <c r="E38" s="1"/>
  <c r="D5"/>
  <c r="D38" s="1"/>
  <c r="C5"/>
  <c r="C38" s="1"/>
  <c r="I14" i="20"/>
  <c r="I14" i="22" s="1"/>
  <c r="J14" i="20"/>
  <c r="J13" i="23" s="1"/>
  <c r="J15" i="20"/>
  <c r="H15"/>
  <c r="G15"/>
  <c r="F15"/>
  <c r="E15"/>
  <c r="H14"/>
  <c r="H13" i="23" s="1"/>
  <c r="G14" i="20"/>
  <c r="G14" i="22" s="1"/>
  <c r="F14" i="20"/>
  <c r="F13" i="23" s="1"/>
  <c r="E14" i="20"/>
  <c r="E14" i="19"/>
  <c r="F14"/>
  <c r="G14"/>
  <c r="H14"/>
  <c r="I14"/>
  <c r="H15"/>
  <c r="F15"/>
  <c r="I20" i="17"/>
  <c r="G20"/>
  <c r="E20"/>
  <c r="C20"/>
  <c r="K19"/>
  <c r="I19"/>
  <c r="G19"/>
  <c r="E19"/>
  <c r="C19"/>
  <c r="I18"/>
  <c r="G18"/>
  <c r="E18"/>
  <c r="C18"/>
  <c r="I17"/>
  <c r="G17"/>
  <c r="E17"/>
  <c r="C17"/>
  <c r="K16"/>
  <c r="K22" s="1"/>
  <c r="I16"/>
  <c r="I22" s="1"/>
  <c r="G16"/>
  <c r="G22" s="1"/>
  <c r="E16"/>
  <c r="E22" s="1"/>
  <c r="C16"/>
  <c r="C22" s="1"/>
  <c r="K10"/>
  <c r="I10"/>
  <c r="G10"/>
  <c r="E10"/>
  <c r="C10"/>
  <c r="K9"/>
  <c r="I9"/>
  <c r="G9"/>
  <c r="E9"/>
  <c r="C9"/>
  <c r="O7"/>
  <c r="K7"/>
  <c r="K12" s="1"/>
  <c r="K24" s="1"/>
  <c r="I7"/>
  <c r="I12" s="1"/>
  <c r="I24" s="1"/>
  <c r="G7"/>
  <c r="G12" s="1"/>
  <c r="G24" s="1"/>
  <c r="E7"/>
  <c r="E12" s="1"/>
  <c r="E24" s="1"/>
  <c r="C7"/>
  <c r="C12" s="1"/>
  <c r="C24" s="1"/>
  <c r="K7" i="16"/>
  <c r="F19"/>
  <c r="E19"/>
  <c r="D19"/>
  <c r="C19"/>
  <c r="G18"/>
  <c r="F18"/>
  <c r="E18"/>
  <c r="D18"/>
  <c r="C18"/>
  <c r="F17"/>
  <c r="E17"/>
  <c r="D17"/>
  <c r="C17"/>
  <c r="F16"/>
  <c r="E16"/>
  <c r="D16"/>
  <c r="C16"/>
  <c r="G15"/>
  <c r="G21" s="1"/>
  <c r="F15"/>
  <c r="K11" i="18" s="1"/>
  <c r="K19" s="1"/>
  <c r="E15" i="16"/>
  <c r="E21" s="1"/>
  <c r="D15"/>
  <c r="G11" i="18" s="1"/>
  <c r="G19" s="1"/>
  <c r="C15" i="16"/>
  <c r="E11" i="18" s="1"/>
  <c r="F13" s="1"/>
  <c r="G10" i="16"/>
  <c r="F10"/>
  <c r="E10"/>
  <c r="D10"/>
  <c r="C10"/>
  <c r="G9"/>
  <c r="F9"/>
  <c r="E9"/>
  <c r="D9"/>
  <c r="C9"/>
  <c r="G7"/>
  <c r="F7"/>
  <c r="F12" s="1"/>
  <c r="E7"/>
  <c r="D7"/>
  <c r="D12" s="1"/>
  <c r="C7"/>
  <c r="M17" i="13"/>
  <c r="M19"/>
  <c r="M18"/>
  <c r="J17"/>
  <c r="J19"/>
  <c r="H24" i="15"/>
  <c r="G24"/>
  <c r="F24"/>
  <c r="E24"/>
  <c r="D24"/>
  <c r="K18"/>
  <c r="L18" s="1"/>
  <c r="M18" s="1"/>
  <c r="N18" s="1"/>
  <c r="O18" s="1"/>
  <c r="J18"/>
  <c r="H18"/>
  <c r="G18"/>
  <c r="F18"/>
  <c r="E18"/>
  <c r="D18"/>
  <c r="K17"/>
  <c r="L17" s="1"/>
  <c r="M17" s="1"/>
  <c r="N17" s="1"/>
  <c r="O17" s="1"/>
  <c r="J17"/>
  <c r="H17"/>
  <c r="G17"/>
  <c r="F17"/>
  <c r="E17"/>
  <c r="D17"/>
  <c r="K16"/>
  <c r="J16"/>
  <c r="J15" s="1"/>
  <c r="H16"/>
  <c r="H15" s="1"/>
  <c r="G16"/>
  <c r="F16"/>
  <c r="E16"/>
  <c r="E15" s="1"/>
  <c r="D16"/>
  <c r="D15" s="1"/>
  <c r="K9"/>
  <c r="J10"/>
  <c r="J9" s="1"/>
  <c r="H10"/>
  <c r="H9" s="1"/>
  <c r="G10"/>
  <c r="G9" s="1"/>
  <c r="F10"/>
  <c r="F9" s="1"/>
  <c r="E10"/>
  <c r="E9" s="1"/>
  <c r="D10"/>
  <c r="D9" s="1"/>
  <c r="F15" i="14"/>
  <c r="F14"/>
  <c r="F13"/>
  <c r="F12"/>
  <c r="F11"/>
  <c r="K17" i="13"/>
  <c r="I17"/>
  <c r="G17"/>
  <c r="E17"/>
  <c r="D17"/>
  <c r="K15"/>
  <c r="L15" s="1"/>
  <c r="I15"/>
  <c r="G15"/>
  <c r="E15"/>
  <c r="D15"/>
  <c r="K14"/>
  <c r="I14"/>
  <c r="J14" s="1"/>
  <c r="G14"/>
  <c r="E14"/>
  <c r="F14" s="1"/>
  <c r="D14"/>
  <c r="K13"/>
  <c r="L13" s="1"/>
  <c r="I13"/>
  <c r="G13"/>
  <c r="H13" s="1"/>
  <c r="E13"/>
  <c r="E12" s="1"/>
  <c r="D13"/>
  <c r="I12"/>
  <c r="K9"/>
  <c r="K8" s="1"/>
  <c r="I9"/>
  <c r="G9"/>
  <c r="G8" s="1"/>
  <c r="E9"/>
  <c r="D9"/>
  <c r="D8" s="1"/>
  <c r="I8"/>
  <c r="J8" s="1"/>
  <c r="E8"/>
  <c r="F8" s="1"/>
  <c r="L18" i="5"/>
  <c r="L17"/>
  <c r="L16"/>
  <c r="L15"/>
  <c r="L9"/>
  <c r="L10"/>
  <c r="L11"/>
  <c r="L12"/>
  <c r="L13"/>
  <c r="L14"/>
  <c r="L7"/>
  <c r="L8"/>
  <c r="J15"/>
  <c r="J6" s="1"/>
  <c r="J7"/>
  <c r="J18"/>
  <c r="J17"/>
  <c r="J16"/>
  <c r="J9"/>
  <c r="J10"/>
  <c r="J11"/>
  <c r="J12"/>
  <c r="J13"/>
  <c r="J14"/>
  <c r="J8"/>
  <c r="H15"/>
  <c r="H6" s="1"/>
  <c r="H7"/>
  <c r="H18"/>
  <c r="H17"/>
  <c r="H16"/>
  <c r="H9"/>
  <c r="H10"/>
  <c r="H11"/>
  <c r="H12"/>
  <c r="H13"/>
  <c r="H14"/>
  <c r="H8"/>
  <c r="I5" i="2"/>
  <c r="H8" i="1"/>
  <c r="H7" s="1"/>
  <c r="G8"/>
  <c r="G7" s="1"/>
  <c r="F8"/>
  <c r="F7" s="1"/>
  <c r="E8"/>
  <c r="E7" s="1"/>
  <c r="D8"/>
  <c r="D7" s="1"/>
  <c r="Q74" i="3"/>
  <c r="I24" i="21" l="1"/>
  <c r="I23" s="1"/>
  <c r="I38" s="1"/>
  <c r="N26"/>
  <c r="J24"/>
  <c r="R26"/>
  <c r="L26"/>
  <c r="L24" s="1"/>
  <c r="F50" i="23"/>
  <c r="F15" i="15"/>
  <c r="D30"/>
  <c r="K15"/>
  <c r="J39" i="25" s="1"/>
  <c r="J68" s="1"/>
  <c r="H30" i="15"/>
  <c r="F30"/>
  <c r="G15"/>
  <c r="G30" s="1"/>
  <c r="E30"/>
  <c r="H8" i="13"/>
  <c r="L8"/>
  <c r="H15"/>
  <c r="F9"/>
  <c r="J9"/>
  <c r="J13"/>
  <c r="H14"/>
  <c r="L14"/>
  <c r="F15"/>
  <c r="M15" s="1"/>
  <c r="J15"/>
  <c r="L5" i="21"/>
  <c r="F41" i="23"/>
  <c r="M8" i="13"/>
  <c r="M14"/>
  <c r="F13"/>
  <c r="M13" s="1"/>
  <c r="H9"/>
  <c r="L9"/>
  <c r="C21" i="16"/>
  <c r="I11" i="18"/>
  <c r="J14" s="1"/>
  <c r="M11"/>
  <c r="N14" s="1"/>
  <c r="I43" i="25"/>
  <c r="M67"/>
  <c r="K67"/>
  <c r="N67"/>
  <c r="L67"/>
  <c r="C43"/>
  <c r="E43"/>
  <c r="G43"/>
  <c r="K24"/>
  <c r="M24"/>
  <c r="L24"/>
  <c r="N24"/>
  <c r="J26"/>
  <c r="J67" s="1"/>
  <c r="L11"/>
  <c r="L5" s="1"/>
  <c r="L64" s="1"/>
  <c r="M15"/>
  <c r="C61"/>
  <c r="E61"/>
  <c r="F48" s="1"/>
  <c r="F47" s="1"/>
  <c r="F46" s="1"/>
  <c r="F61" s="1"/>
  <c r="G48" s="1"/>
  <c r="G47" s="1"/>
  <c r="G46" s="1"/>
  <c r="G61" s="1"/>
  <c r="I48" s="1"/>
  <c r="I47" s="1"/>
  <c r="I46" s="1"/>
  <c r="I61" s="1"/>
  <c r="L32"/>
  <c r="D61"/>
  <c r="H61"/>
  <c r="H14" i="22"/>
  <c r="J14"/>
  <c r="G13" i="23"/>
  <c r="I13"/>
  <c r="F14" i="22"/>
  <c r="F17" s="1"/>
  <c r="F16" i="23"/>
  <c r="J30" i="15"/>
  <c r="E18" i="23" s="1"/>
  <c r="E20" s="1"/>
  <c r="E29" s="1"/>
  <c r="N11" i="21"/>
  <c r="N5" s="1"/>
  <c r="P15"/>
  <c r="C56"/>
  <c r="E56"/>
  <c r="F43" s="1"/>
  <c r="F42" s="1"/>
  <c r="F41" s="1"/>
  <c r="F56" s="1"/>
  <c r="G43" s="1"/>
  <c r="G42" s="1"/>
  <c r="G41" s="1"/>
  <c r="G56" s="1"/>
  <c r="I43" s="1"/>
  <c r="I42" s="1"/>
  <c r="I41" s="1"/>
  <c r="N27"/>
  <c r="H50" i="23" s="1"/>
  <c r="P32" i="21"/>
  <c r="R34"/>
  <c r="D56"/>
  <c r="H56"/>
  <c r="E15" i="19"/>
  <c r="I15"/>
  <c r="G15"/>
  <c r="F12" i="18"/>
  <c r="F16"/>
  <c r="F14"/>
  <c r="H12"/>
  <c r="L12"/>
  <c r="N17"/>
  <c r="N15"/>
  <c r="N13"/>
  <c r="L16"/>
  <c r="L14"/>
  <c r="J17"/>
  <c r="J15"/>
  <c r="J13"/>
  <c r="H16"/>
  <c r="H14"/>
  <c r="E19"/>
  <c r="I19"/>
  <c r="M19"/>
  <c r="F17"/>
  <c r="F15"/>
  <c r="J12"/>
  <c r="N12"/>
  <c r="N16"/>
  <c r="L17"/>
  <c r="L15"/>
  <c r="L13"/>
  <c r="J16"/>
  <c r="H17"/>
  <c r="H15"/>
  <c r="H13"/>
  <c r="D16" i="17"/>
  <c r="D19"/>
  <c r="D17"/>
  <c r="F20"/>
  <c r="F18"/>
  <c r="H16"/>
  <c r="H19"/>
  <c r="H17"/>
  <c r="J20"/>
  <c r="J18"/>
  <c r="L16"/>
  <c r="L19"/>
  <c r="L17"/>
  <c r="D20"/>
  <c r="D18"/>
  <c r="F16"/>
  <c r="F19"/>
  <c r="F17"/>
  <c r="H20"/>
  <c r="H18"/>
  <c r="J16"/>
  <c r="J19"/>
  <c r="J17"/>
  <c r="L20"/>
  <c r="L18"/>
  <c r="C12" i="16"/>
  <c r="C23" s="1"/>
  <c r="E12"/>
  <c r="E23" s="1"/>
  <c r="G12"/>
  <c r="G23" s="1"/>
  <c r="D21"/>
  <c r="D23" s="1"/>
  <c r="F21"/>
  <c r="F23" s="1"/>
  <c r="L16" i="15"/>
  <c r="L15" s="1"/>
  <c r="E21" i="13"/>
  <c r="I21"/>
  <c r="D12"/>
  <c r="D21" s="1"/>
  <c r="G12"/>
  <c r="K12"/>
  <c r="L6" i="5"/>
  <c r="N17" i="3"/>
  <c r="M17"/>
  <c r="J17"/>
  <c r="K17"/>
  <c r="K35"/>
  <c r="K49"/>
  <c r="K75"/>
  <c r="N65"/>
  <c r="L17"/>
  <c r="L23" i="21" l="1"/>
  <c r="G39" i="23"/>
  <c r="G42" s="1"/>
  <c r="I11" i="26" s="1"/>
  <c r="J23" i="21"/>
  <c r="F39" i="23"/>
  <c r="F42" s="1"/>
  <c r="G11" i="26" s="1"/>
  <c r="I56" i="21"/>
  <c r="J40" i="25"/>
  <c r="J73" s="1"/>
  <c r="F34" i="23"/>
  <c r="F54" s="1"/>
  <c r="J66" i="25"/>
  <c r="J71" s="1"/>
  <c r="K30" i="15"/>
  <c r="F18" i="23" s="1"/>
  <c r="F20" s="1"/>
  <c r="F29" s="1"/>
  <c r="M9" i="13"/>
  <c r="K21"/>
  <c r="L21" s="1"/>
  <c r="L12"/>
  <c r="H16" i="19"/>
  <c r="H16" i="20"/>
  <c r="J16"/>
  <c r="I16" i="19"/>
  <c r="E16" i="20"/>
  <c r="E16" i="19"/>
  <c r="F21" i="13"/>
  <c r="F12"/>
  <c r="G21"/>
  <c r="H21" s="1"/>
  <c r="H12"/>
  <c r="L30" i="15"/>
  <c r="G18" i="23" s="1"/>
  <c r="K39" i="25"/>
  <c r="F16" i="19"/>
  <c r="F16" i="20"/>
  <c r="G16"/>
  <c r="G16" i="19"/>
  <c r="J21" i="13"/>
  <c r="J12"/>
  <c r="J27" i="25"/>
  <c r="J24" s="1"/>
  <c r="M32"/>
  <c r="N15"/>
  <c r="N11" s="1"/>
  <c r="N5" s="1"/>
  <c r="N64" s="1"/>
  <c r="M11"/>
  <c r="M5" s="1"/>
  <c r="M64" s="1"/>
  <c r="E19" i="22"/>
  <c r="E21" s="1"/>
  <c r="R32" i="21"/>
  <c r="P27"/>
  <c r="I50" i="23" s="1"/>
  <c r="N24" i="21"/>
  <c r="R15"/>
  <c r="R11" s="1"/>
  <c r="R5" s="1"/>
  <c r="P11"/>
  <c r="P5" s="1"/>
  <c r="M16" i="15"/>
  <c r="M15" s="1"/>
  <c r="H17" i="3"/>
  <c r="G17"/>
  <c r="F78"/>
  <c r="E78"/>
  <c r="D78"/>
  <c r="F9"/>
  <c r="E9"/>
  <c r="D9"/>
  <c r="G14" i="12"/>
  <c r="G7"/>
  <c r="G5"/>
  <c r="H25"/>
  <c r="E25"/>
  <c r="E27" s="1"/>
  <c r="H14"/>
  <c r="F14"/>
  <c r="E14"/>
  <c r="D14"/>
  <c r="C14"/>
  <c r="H7"/>
  <c r="H5" s="1"/>
  <c r="F7"/>
  <c r="E7"/>
  <c r="E5" s="1"/>
  <c r="D7"/>
  <c r="C7"/>
  <c r="C5" s="1"/>
  <c r="F5"/>
  <c r="D5"/>
  <c r="D18" i="2"/>
  <c r="D17"/>
  <c r="D16"/>
  <c r="D15"/>
  <c r="D14"/>
  <c r="E18"/>
  <c r="E17"/>
  <c r="E16"/>
  <c r="E15"/>
  <c r="E14"/>
  <c r="F18"/>
  <c r="F17"/>
  <c r="F16"/>
  <c r="F15"/>
  <c r="F14"/>
  <c r="G18"/>
  <c r="G17"/>
  <c r="G16"/>
  <c r="G15"/>
  <c r="G14"/>
  <c r="H17"/>
  <c r="H14"/>
  <c r="H9"/>
  <c r="G5" i="11"/>
  <c r="G25"/>
  <c r="E27" s="1"/>
  <c r="E25"/>
  <c r="G14"/>
  <c r="F14"/>
  <c r="G9" i="2" s="1"/>
  <c r="E14" i="11"/>
  <c r="F9" i="2" s="1"/>
  <c r="D14" i="11"/>
  <c r="E9" i="2" s="1"/>
  <c r="C14" i="11"/>
  <c r="D9" i="2" s="1"/>
  <c r="G7" i="11"/>
  <c r="F7"/>
  <c r="E7"/>
  <c r="D7"/>
  <c r="C7"/>
  <c r="H5" i="2"/>
  <c r="G5"/>
  <c r="F5"/>
  <c r="E5"/>
  <c r="D5"/>
  <c r="F121" i="10"/>
  <c r="H121" s="1"/>
  <c r="F120"/>
  <c r="H120" s="1"/>
  <c r="F119"/>
  <c r="H119" s="1"/>
  <c r="F118"/>
  <c r="H118" s="1"/>
  <c r="H115"/>
  <c r="G115"/>
  <c r="F115"/>
  <c r="E115"/>
  <c r="H53"/>
  <c r="G53"/>
  <c r="F53"/>
  <c r="E53"/>
  <c r="H50"/>
  <c r="G50"/>
  <c r="F50"/>
  <c r="E50"/>
  <c r="D50"/>
  <c r="C50"/>
  <c r="D44"/>
  <c r="H43"/>
  <c r="H42" s="1"/>
  <c r="G43"/>
  <c r="F43"/>
  <c r="F42" s="1"/>
  <c r="E43"/>
  <c r="D43"/>
  <c r="D42" s="1"/>
  <c r="G42"/>
  <c r="E42"/>
  <c r="H37"/>
  <c r="G37"/>
  <c r="F37"/>
  <c r="E37"/>
  <c r="D37"/>
  <c r="C37"/>
  <c r="E36"/>
  <c r="C36"/>
  <c r="F35"/>
  <c r="G35" s="1"/>
  <c r="C35"/>
  <c r="F33"/>
  <c r="E33"/>
  <c r="D33"/>
  <c r="C33"/>
  <c r="D32"/>
  <c r="C32"/>
  <c r="D31"/>
  <c r="E31" s="1"/>
  <c r="F31" s="1"/>
  <c r="G31" s="1"/>
  <c r="H31" s="1"/>
  <c r="C31"/>
  <c r="D30"/>
  <c r="C30"/>
  <c r="D29"/>
  <c r="E29" s="1"/>
  <c r="F29" s="1"/>
  <c r="G29" s="1"/>
  <c r="H29" s="1"/>
  <c r="I29" s="1"/>
  <c r="C29"/>
  <c r="D28"/>
  <c r="E28" s="1"/>
  <c r="C28"/>
  <c r="H27"/>
  <c r="G27"/>
  <c r="F27"/>
  <c r="E27"/>
  <c r="D27"/>
  <c r="C27"/>
  <c r="H26"/>
  <c r="G26"/>
  <c r="F26"/>
  <c r="E26"/>
  <c r="D26"/>
  <c r="D115" s="1"/>
  <c r="C26"/>
  <c r="D25"/>
  <c r="C25"/>
  <c r="D24"/>
  <c r="C24"/>
  <c r="D17"/>
  <c r="C17"/>
  <c r="E16"/>
  <c r="F16" s="1"/>
  <c r="H15"/>
  <c r="G15"/>
  <c r="F15"/>
  <c r="E15"/>
  <c r="H14"/>
  <c r="G14"/>
  <c r="F14"/>
  <c r="E14"/>
  <c r="D12"/>
  <c r="C12"/>
  <c r="D7"/>
  <c r="C7"/>
  <c r="C6" s="1"/>
  <c r="C39" s="1"/>
  <c r="D6"/>
  <c r="D39" s="1"/>
  <c r="G24" i="9"/>
  <c r="E26" s="1"/>
  <c r="E24"/>
  <c r="I23"/>
  <c r="J21"/>
  <c r="K21" s="1"/>
  <c r="L21" s="1"/>
  <c r="M21" s="1"/>
  <c r="I14"/>
  <c r="H14"/>
  <c r="G14"/>
  <c r="F14"/>
  <c r="E14"/>
  <c r="D14"/>
  <c r="C14"/>
  <c r="I6"/>
  <c r="H6"/>
  <c r="G6"/>
  <c r="F6"/>
  <c r="E6"/>
  <c r="D6"/>
  <c r="C6"/>
  <c r="I5"/>
  <c r="H5"/>
  <c r="G5"/>
  <c r="F5"/>
  <c r="E5"/>
  <c r="D5"/>
  <c r="C5"/>
  <c r="H23" i="8"/>
  <c r="G23"/>
  <c r="F23"/>
  <c r="E23"/>
  <c r="D23"/>
  <c r="F22"/>
  <c r="D22"/>
  <c r="E22" s="1"/>
  <c r="H21"/>
  <c r="G21"/>
  <c r="F21"/>
  <c r="E21"/>
  <c r="D21"/>
  <c r="D20"/>
  <c r="D15" s="1"/>
  <c r="H10"/>
  <c r="G10"/>
  <c r="F10"/>
  <c r="E10"/>
  <c r="D10"/>
  <c r="H7"/>
  <c r="G7"/>
  <c r="F7"/>
  <c r="E7"/>
  <c r="D7"/>
  <c r="E6"/>
  <c r="C6" i="7"/>
  <c r="C5" s="1"/>
  <c r="D6"/>
  <c r="D5" s="1"/>
  <c r="E6"/>
  <c r="E5" s="1"/>
  <c r="F6"/>
  <c r="F5" s="1"/>
  <c r="G6"/>
  <c r="G5" s="1"/>
  <c r="I6"/>
  <c r="I5" s="1"/>
  <c r="J7"/>
  <c r="K7"/>
  <c r="L7"/>
  <c r="E8" i="10"/>
  <c r="N7" i="7"/>
  <c r="O7"/>
  <c r="G8" i="10" s="1"/>
  <c r="P7" i="7"/>
  <c r="J8"/>
  <c r="K8" s="1"/>
  <c r="L8" s="1"/>
  <c r="E9" i="10"/>
  <c r="N8" i="7"/>
  <c r="F9" i="10" s="1"/>
  <c r="O8" i="7"/>
  <c r="G9" i="10" s="1"/>
  <c r="H9"/>
  <c r="J9" i="7"/>
  <c r="K9" s="1"/>
  <c r="L9" s="1"/>
  <c r="E10" i="10"/>
  <c r="N9" i="7"/>
  <c r="F10" i="10" s="1"/>
  <c r="O9" i="7"/>
  <c r="G10" i="10" s="1"/>
  <c r="P9" i="7"/>
  <c r="H10" i="10" s="1"/>
  <c r="J10" i="7"/>
  <c r="K10" s="1"/>
  <c r="L10" s="1"/>
  <c r="E11" i="10"/>
  <c r="N10" i="7"/>
  <c r="F11" i="10" s="1"/>
  <c r="O10" i="7"/>
  <c r="G11" i="10" s="1"/>
  <c r="P10" i="7"/>
  <c r="H11" i="10" s="1"/>
  <c r="C11" i="7"/>
  <c r="D11"/>
  <c r="E11"/>
  <c r="F11"/>
  <c r="G11"/>
  <c r="I11"/>
  <c r="J12"/>
  <c r="J11" s="1"/>
  <c r="N12"/>
  <c r="F13" i="10" s="1"/>
  <c r="O12" i="7"/>
  <c r="G13" i="10" s="1"/>
  <c r="P12" i="7"/>
  <c r="H13" i="10" s="1"/>
  <c r="K13" i="7"/>
  <c r="L13"/>
  <c r="N13"/>
  <c r="M162" i="6" s="1"/>
  <c r="M161" s="1"/>
  <c r="M160" s="1"/>
  <c r="O13" i="7"/>
  <c r="K14"/>
  <c r="L14"/>
  <c r="K15"/>
  <c r="M15"/>
  <c r="N15" s="1"/>
  <c r="O15" s="1"/>
  <c r="P15" s="1"/>
  <c r="C16"/>
  <c r="D16"/>
  <c r="E16"/>
  <c r="F16"/>
  <c r="G16"/>
  <c r="I16"/>
  <c r="J17"/>
  <c r="K17" s="1"/>
  <c r="L17" s="1"/>
  <c r="M17"/>
  <c r="N17"/>
  <c r="O17"/>
  <c r="P17"/>
  <c r="J18"/>
  <c r="K18" s="1"/>
  <c r="L18" s="1"/>
  <c r="M18"/>
  <c r="E19" i="10" s="1"/>
  <c r="N18" i="7"/>
  <c r="F19" i="10" s="1"/>
  <c r="O18" i="7"/>
  <c r="G19" i="10" s="1"/>
  <c r="P18" i="7"/>
  <c r="H19" i="10" s="1"/>
  <c r="J19" i="7"/>
  <c r="D9" i="8" s="1"/>
  <c r="D13" s="1"/>
  <c r="K19" i="7"/>
  <c r="L19" s="1"/>
  <c r="M19"/>
  <c r="E20" i="10" s="1"/>
  <c r="N19" i="7"/>
  <c r="F20" i="10" s="1"/>
  <c r="O19" i="7"/>
  <c r="G20" i="10" s="1"/>
  <c r="P19" i="7"/>
  <c r="H9" i="8" s="1"/>
  <c r="J20" i="7"/>
  <c r="K20" s="1"/>
  <c r="L20" s="1"/>
  <c r="M20"/>
  <c r="E21" i="10" s="1"/>
  <c r="N20" i="7"/>
  <c r="O20"/>
  <c r="G21" i="10" s="1"/>
  <c r="P20" i="7"/>
  <c r="H23"/>
  <c r="H24"/>
  <c r="E29"/>
  <c r="G29"/>
  <c r="E31" s="1"/>
  <c r="I29"/>
  <c r="J29"/>
  <c r="L189" i="6"/>
  <c r="M189" s="1"/>
  <c r="L188"/>
  <c r="K188"/>
  <c r="J188"/>
  <c r="I188"/>
  <c r="H188"/>
  <c r="G188"/>
  <c r="F188"/>
  <c r="E188"/>
  <c r="D188"/>
  <c r="L187"/>
  <c r="K187"/>
  <c r="J187"/>
  <c r="I187"/>
  <c r="H187"/>
  <c r="G187"/>
  <c r="F187"/>
  <c r="E187"/>
  <c r="D187"/>
  <c r="O185"/>
  <c r="N185"/>
  <c r="M185"/>
  <c r="L185"/>
  <c r="K185"/>
  <c r="J185"/>
  <c r="I185"/>
  <c r="H185"/>
  <c r="G185"/>
  <c r="F185"/>
  <c r="E185"/>
  <c r="D185"/>
  <c r="O184"/>
  <c r="N184"/>
  <c r="M184"/>
  <c r="L184"/>
  <c r="K184"/>
  <c r="J184"/>
  <c r="I184"/>
  <c r="H184"/>
  <c r="G184"/>
  <c r="F184"/>
  <c r="E184"/>
  <c r="D184"/>
  <c r="L181"/>
  <c r="M181" s="1"/>
  <c r="N181" s="1"/>
  <c r="O181" s="1"/>
  <c r="L175"/>
  <c r="M175" s="1"/>
  <c r="N175" s="1"/>
  <c r="O175" s="1"/>
  <c r="L174"/>
  <c r="M174" s="1"/>
  <c r="N174" s="1"/>
  <c r="O174" s="1"/>
  <c r="L173"/>
  <c r="M173" s="1"/>
  <c r="L172"/>
  <c r="K172"/>
  <c r="J172"/>
  <c r="I172"/>
  <c r="H172"/>
  <c r="G172"/>
  <c r="F172"/>
  <c r="E172"/>
  <c r="D172"/>
  <c r="L171"/>
  <c r="K171"/>
  <c r="J171"/>
  <c r="I171"/>
  <c r="H171"/>
  <c r="G171"/>
  <c r="F171"/>
  <c r="E171"/>
  <c r="D171"/>
  <c r="O168"/>
  <c r="N168"/>
  <c r="M168"/>
  <c r="L168"/>
  <c r="K168"/>
  <c r="J168"/>
  <c r="I168"/>
  <c r="H168"/>
  <c r="G168"/>
  <c r="F168"/>
  <c r="E168"/>
  <c r="D168"/>
  <c r="L167"/>
  <c r="K167"/>
  <c r="J167"/>
  <c r="I167"/>
  <c r="H167"/>
  <c r="G167"/>
  <c r="F167"/>
  <c r="E167"/>
  <c r="D167"/>
  <c r="K165"/>
  <c r="K164"/>
  <c r="K163" s="1"/>
  <c r="J164"/>
  <c r="I164"/>
  <c r="H164"/>
  <c r="F164"/>
  <c r="E164"/>
  <c r="D164"/>
  <c r="J163"/>
  <c r="I163"/>
  <c r="H163"/>
  <c r="G163"/>
  <c r="F163"/>
  <c r="E163"/>
  <c r="D163"/>
  <c r="O162"/>
  <c r="N162"/>
  <c r="N161" s="1"/>
  <c r="N160" s="1"/>
  <c r="K162"/>
  <c r="K161" s="1"/>
  <c r="K160" s="1"/>
  <c r="O161"/>
  <c r="J161"/>
  <c r="I161"/>
  <c r="H161"/>
  <c r="G161"/>
  <c r="F161"/>
  <c r="E161"/>
  <c r="D161"/>
  <c r="O160"/>
  <c r="J160"/>
  <c r="I160"/>
  <c r="H160"/>
  <c r="G160"/>
  <c r="F160"/>
  <c r="E160"/>
  <c r="D160"/>
  <c r="O159"/>
  <c r="N159"/>
  <c r="M159"/>
  <c r="L159"/>
  <c r="M157"/>
  <c r="N157" s="1"/>
  <c r="K154"/>
  <c r="M153"/>
  <c r="L153"/>
  <c r="K153"/>
  <c r="J153"/>
  <c r="I153"/>
  <c r="H153"/>
  <c r="G153"/>
  <c r="F153"/>
  <c r="E153"/>
  <c r="D153"/>
  <c r="O149"/>
  <c r="N149"/>
  <c r="M149"/>
  <c r="L149"/>
  <c r="K149"/>
  <c r="J149"/>
  <c r="I149"/>
  <c r="H149"/>
  <c r="G149"/>
  <c r="F149"/>
  <c r="E149"/>
  <c r="D149"/>
  <c r="M148"/>
  <c r="L148"/>
  <c r="K148"/>
  <c r="J148"/>
  <c r="I148"/>
  <c r="H148"/>
  <c r="G148"/>
  <c r="F148"/>
  <c r="E148"/>
  <c r="D148"/>
  <c r="J147"/>
  <c r="I147"/>
  <c r="H147"/>
  <c r="G147"/>
  <c r="F147"/>
  <c r="E147"/>
  <c r="D147"/>
  <c r="O144"/>
  <c r="N144"/>
  <c r="M144"/>
  <c r="L144"/>
  <c r="K144"/>
  <c r="J144"/>
  <c r="H144"/>
  <c r="G144"/>
  <c r="F144"/>
  <c r="E144"/>
  <c r="D144"/>
  <c r="M143"/>
  <c r="N143" s="1"/>
  <c r="M142"/>
  <c r="L142"/>
  <c r="K142"/>
  <c r="J142"/>
  <c r="I142"/>
  <c r="H142"/>
  <c r="G142"/>
  <c r="F142"/>
  <c r="E142"/>
  <c r="D142"/>
  <c r="C142"/>
  <c r="O140"/>
  <c r="N140"/>
  <c r="M140"/>
  <c r="L140"/>
  <c r="K140"/>
  <c r="J140"/>
  <c r="I140"/>
  <c r="H140"/>
  <c r="G140"/>
  <c r="F140"/>
  <c r="E140"/>
  <c r="D140"/>
  <c r="C140"/>
  <c r="O138"/>
  <c r="N138"/>
  <c r="M138"/>
  <c r="L138"/>
  <c r="K138"/>
  <c r="J138"/>
  <c r="I138"/>
  <c r="H138"/>
  <c r="G138"/>
  <c r="D138"/>
  <c r="C138"/>
  <c r="L137"/>
  <c r="M137" s="1"/>
  <c r="O131"/>
  <c r="N131"/>
  <c r="M131"/>
  <c r="L131"/>
  <c r="K131"/>
  <c r="O121"/>
  <c r="N121"/>
  <c r="M121"/>
  <c r="L121"/>
  <c r="K121"/>
  <c r="J121"/>
  <c r="I121"/>
  <c r="H121"/>
  <c r="G121"/>
  <c r="F121"/>
  <c r="E121"/>
  <c r="D121"/>
  <c r="C121"/>
  <c r="L120"/>
  <c r="K120"/>
  <c r="J120"/>
  <c r="I120"/>
  <c r="H120"/>
  <c r="G120"/>
  <c r="F120"/>
  <c r="E120"/>
  <c r="D120"/>
  <c r="C120"/>
  <c r="L118"/>
  <c r="M118" s="1"/>
  <c r="N118" s="1"/>
  <c r="O118" s="1"/>
  <c r="L117"/>
  <c r="M117" s="1"/>
  <c r="N117" s="1"/>
  <c r="O117" s="1"/>
  <c r="L116"/>
  <c r="M116" s="1"/>
  <c r="N116" s="1"/>
  <c r="O116" s="1"/>
  <c r="L115"/>
  <c r="M115" s="1"/>
  <c r="N115" s="1"/>
  <c r="O115" s="1"/>
  <c r="L113"/>
  <c r="M113" s="1"/>
  <c r="N113" s="1"/>
  <c r="O113" s="1"/>
  <c r="L112"/>
  <c r="M112" s="1"/>
  <c r="N112" s="1"/>
  <c r="O112" s="1"/>
  <c r="L111"/>
  <c r="M111" s="1"/>
  <c r="N111" s="1"/>
  <c r="O111" s="1"/>
  <c r="L110"/>
  <c r="M110" s="1"/>
  <c r="K109"/>
  <c r="L109" s="1"/>
  <c r="L108" s="1"/>
  <c r="L12" s="1"/>
  <c r="J109"/>
  <c r="I109"/>
  <c r="H109"/>
  <c r="G109"/>
  <c r="F109"/>
  <c r="E109"/>
  <c r="D109"/>
  <c r="C109"/>
  <c r="K108"/>
  <c r="J108"/>
  <c r="I108"/>
  <c r="H108"/>
  <c r="G108"/>
  <c r="F108"/>
  <c r="E108"/>
  <c r="D108"/>
  <c r="C108"/>
  <c r="L103"/>
  <c r="M103" s="1"/>
  <c r="N103" s="1"/>
  <c r="O103" s="1"/>
  <c r="M101"/>
  <c r="N101" s="1"/>
  <c r="O101" s="1"/>
  <c r="L100"/>
  <c r="M100" s="1"/>
  <c r="N100" s="1"/>
  <c r="O100" s="1"/>
  <c r="L99"/>
  <c r="M99" s="1"/>
  <c r="L98"/>
  <c r="K98"/>
  <c r="J98"/>
  <c r="I98"/>
  <c r="H98"/>
  <c r="G98"/>
  <c r="F98"/>
  <c r="E98"/>
  <c r="D98"/>
  <c r="C98"/>
  <c r="M83"/>
  <c r="N83" s="1"/>
  <c r="O83" s="1"/>
  <c r="L79"/>
  <c r="M79" s="1"/>
  <c r="G79"/>
  <c r="M76"/>
  <c r="N76" s="1"/>
  <c r="O76" s="1"/>
  <c r="M74"/>
  <c r="N74" s="1"/>
  <c r="O74" s="1"/>
  <c r="M73"/>
  <c r="N73" s="1"/>
  <c r="O69"/>
  <c r="N69"/>
  <c r="M69"/>
  <c r="L69"/>
  <c r="K69"/>
  <c r="J69"/>
  <c r="I69"/>
  <c r="H69"/>
  <c r="D69"/>
  <c r="C69"/>
  <c r="L67"/>
  <c r="K67"/>
  <c r="J67"/>
  <c r="I67"/>
  <c r="H67"/>
  <c r="G67"/>
  <c r="F67"/>
  <c r="E67"/>
  <c r="D67"/>
  <c r="C67"/>
  <c r="L56"/>
  <c r="M56" s="1"/>
  <c r="N56" s="1"/>
  <c r="O56" s="1"/>
  <c r="J56"/>
  <c r="L52"/>
  <c r="M52" s="1"/>
  <c r="G52"/>
  <c r="L51"/>
  <c r="K51"/>
  <c r="J51"/>
  <c r="I51"/>
  <c r="H51"/>
  <c r="F51"/>
  <c r="E51"/>
  <c r="D51"/>
  <c r="C51"/>
  <c r="C49"/>
  <c r="L47"/>
  <c r="M47" s="1"/>
  <c r="N47" s="1"/>
  <c r="O47" s="1"/>
  <c r="L46"/>
  <c r="M46" s="1"/>
  <c r="L45"/>
  <c r="K45"/>
  <c r="J45"/>
  <c r="I45"/>
  <c r="H45"/>
  <c r="G45"/>
  <c r="F45"/>
  <c r="E45"/>
  <c r="D45"/>
  <c r="L43"/>
  <c r="M43" s="1"/>
  <c r="G41"/>
  <c r="O40"/>
  <c r="N40"/>
  <c r="M40"/>
  <c r="L40"/>
  <c r="K40"/>
  <c r="O33"/>
  <c r="N33"/>
  <c r="M33"/>
  <c r="L33"/>
  <c r="K33"/>
  <c r="J33"/>
  <c r="I33"/>
  <c r="H33"/>
  <c r="G33"/>
  <c r="F33"/>
  <c r="E33"/>
  <c r="D33"/>
  <c r="C33"/>
  <c r="L31"/>
  <c r="K31"/>
  <c r="J31"/>
  <c r="I31"/>
  <c r="H31"/>
  <c r="G31"/>
  <c r="F31"/>
  <c r="E31"/>
  <c r="D31"/>
  <c r="C31"/>
  <c r="L29"/>
  <c r="K29"/>
  <c r="J29"/>
  <c r="I29"/>
  <c r="H29"/>
  <c r="G29"/>
  <c r="F29"/>
  <c r="E29"/>
  <c r="D29"/>
  <c r="C29"/>
  <c r="O14"/>
  <c r="N14"/>
  <c r="M14"/>
  <c r="L14"/>
  <c r="K14"/>
  <c r="J14"/>
  <c r="I14"/>
  <c r="H14"/>
  <c r="G14"/>
  <c r="F14"/>
  <c r="E14"/>
  <c r="D14"/>
  <c r="C14"/>
  <c r="K12"/>
  <c r="J12"/>
  <c r="J191" s="1"/>
  <c r="I12"/>
  <c r="I191" s="1"/>
  <c r="H12"/>
  <c r="H191" s="1"/>
  <c r="G12"/>
  <c r="G191" s="1"/>
  <c r="F12"/>
  <c r="F191" s="1"/>
  <c r="E12"/>
  <c r="E191" s="1"/>
  <c r="D12"/>
  <c r="D191" s="1"/>
  <c r="C12"/>
  <c r="C191" s="1"/>
  <c r="J10"/>
  <c r="I10"/>
  <c r="H10"/>
  <c r="G10"/>
  <c r="F10"/>
  <c r="E10"/>
  <c r="D10"/>
  <c r="C10"/>
  <c r="K25" i="5"/>
  <c r="G27" s="1"/>
  <c r="G25"/>
  <c r="K15"/>
  <c r="I15"/>
  <c r="G15"/>
  <c r="E15"/>
  <c r="C15"/>
  <c r="K7"/>
  <c r="I7"/>
  <c r="G7"/>
  <c r="E7"/>
  <c r="E6" s="1"/>
  <c r="E7" i="2" s="1"/>
  <c r="C7" i="5"/>
  <c r="K6"/>
  <c r="H7" i="2" s="1"/>
  <c r="I6" i="5"/>
  <c r="G7" i="2" s="1"/>
  <c r="C6" i="5"/>
  <c r="G29" i="4"/>
  <c r="E31" s="1"/>
  <c r="E29"/>
  <c r="G16"/>
  <c r="F16"/>
  <c r="E16"/>
  <c r="D16"/>
  <c r="C16"/>
  <c r="G12"/>
  <c r="F12"/>
  <c r="E12"/>
  <c r="D12"/>
  <c r="C12"/>
  <c r="G7"/>
  <c r="F7"/>
  <c r="E7"/>
  <c r="D7"/>
  <c r="C7"/>
  <c r="G6"/>
  <c r="F6"/>
  <c r="E6"/>
  <c r="D6"/>
  <c r="C6"/>
  <c r="L38" i="21" l="1"/>
  <c r="L56" s="1"/>
  <c r="D77" s="1"/>
  <c r="G48" i="23"/>
  <c r="F48"/>
  <c r="J38" i="21"/>
  <c r="J56" s="1"/>
  <c r="N23"/>
  <c r="H39" i="23"/>
  <c r="F19" i="22"/>
  <c r="F21" s="1"/>
  <c r="F22" s="1"/>
  <c r="J37" i="25"/>
  <c r="F31" i="23" s="1"/>
  <c r="F36" s="1"/>
  <c r="G9" i="26" s="1"/>
  <c r="G13" s="1"/>
  <c r="G19" i="22"/>
  <c r="M30" i="15"/>
  <c r="L39" i="25"/>
  <c r="K68"/>
  <c r="K66" s="1"/>
  <c r="K71" s="1"/>
  <c r="G34" i="23"/>
  <c r="G54" s="1"/>
  <c r="K40" i="25"/>
  <c r="M12" i="13"/>
  <c r="M21"/>
  <c r="N32" i="25"/>
  <c r="G52" i="23"/>
  <c r="S36" i="21"/>
  <c r="S35"/>
  <c r="P24"/>
  <c r="R27"/>
  <c r="J50" i="23" s="1"/>
  <c r="S34" i="21"/>
  <c r="N16" i="15"/>
  <c r="N15" s="1"/>
  <c r="G6" i="5"/>
  <c r="D17"/>
  <c r="D9"/>
  <c r="D11"/>
  <c r="D13"/>
  <c r="D8"/>
  <c r="D18"/>
  <c r="D16"/>
  <c r="D15" s="1"/>
  <c r="D10"/>
  <c r="D12"/>
  <c r="D14"/>
  <c r="F17"/>
  <c r="F9"/>
  <c r="F11"/>
  <c r="F13"/>
  <c r="F8"/>
  <c r="F18"/>
  <c r="F16"/>
  <c r="F15" s="1"/>
  <c r="F10"/>
  <c r="F12"/>
  <c r="F14"/>
  <c r="D7" i="2"/>
  <c r="K147" i="6"/>
  <c r="K10" s="1"/>
  <c r="J5" i="2" s="1"/>
  <c r="G7" i="10"/>
  <c r="E7"/>
  <c r="P16" i="7"/>
  <c r="N16"/>
  <c r="P6"/>
  <c r="N6"/>
  <c r="J6"/>
  <c r="E9" i="8"/>
  <c r="E13" s="1"/>
  <c r="G9"/>
  <c r="K7" i="9"/>
  <c r="K6" s="1"/>
  <c r="M7"/>
  <c r="M6" s="1"/>
  <c r="F18" i="10"/>
  <c r="H18"/>
  <c r="H20"/>
  <c r="F21"/>
  <c r="H21"/>
  <c r="O16" i="7"/>
  <c r="M16"/>
  <c r="J16"/>
  <c r="K16" s="1"/>
  <c r="L16" s="1"/>
  <c r="O6"/>
  <c r="M6"/>
  <c r="F9" i="8"/>
  <c r="F13" s="1"/>
  <c r="J7" i="9"/>
  <c r="L7"/>
  <c r="L6" s="1"/>
  <c r="F8" i="10"/>
  <c r="F7" s="1"/>
  <c r="H8"/>
  <c r="H7" s="1"/>
  <c r="E13"/>
  <c r="E12" s="1"/>
  <c r="E18"/>
  <c r="E17" s="1"/>
  <c r="G18"/>
  <c r="G17" s="1"/>
  <c r="F5" i="11"/>
  <c r="E5"/>
  <c r="D5"/>
  <c r="C5"/>
  <c r="F12" i="10"/>
  <c r="G16"/>
  <c r="C44"/>
  <c r="C43" s="1"/>
  <c r="C42" s="1"/>
  <c r="C57" s="1"/>
  <c r="D57"/>
  <c r="E25"/>
  <c r="E24" s="1"/>
  <c r="F28"/>
  <c r="G33"/>
  <c r="H35"/>
  <c r="F6" i="8"/>
  <c r="J5" i="7"/>
  <c r="K6"/>
  <c r="L6" s="1"/>
  <c r="K12"/>
  <c r="N43" i="6"/>
  <c r="M45"/>
  <c r="N46"/>
  <c r="O73"/>
  <c r="M67"/>
  <c r="N79"/>
  <c r="O79" s="1"/>
  <c r="M98"/>
  <c r="N99"/>
  <c r="N110"/>
  <c r="M109"/>
  <c r="M108" s="1"/>
  <c r="M120"/>
  <c r="N137"/>
  <c r="O137" s="1"/>
  <c r="O143"/>
  <c r="O142" s="1"/>
  <c r="N142"/>
  <c r="N120" s="1"/>
  <c r="M172"/>
  <c r="M171" s="1"/>
  <c r="N173"/>
  <c r="M188"/>
  <c r="M187" s="1"/>
  <c r="N189"/>
  <c r="N52"/>
  <c r="M51"/>
  <c r="M31" s="1"/>
  <c r="M29" s="1"/>
  <c r="M12" s="1"/>
  <c r="N153"/>
  <c r="N148" s="1"/>
  <c r="O157"/>
  <c r="O153" s="1"/>
  <c r="O148" s="1"/>
  <c r="P23" i="21" l="1"/>
  <c r="I39" i="23"/>
  <c r="N38" i="21"/>
  <c r="N56" s="1"/>
  <c r="D78" s="1"/>
  <c r="H48" i="23"/>
  <c r="J23" i="25"/>
  <c r="J43" s="1"/>
  <c r="J61" s="1"/>
  <c r="F47" i="23"/>
  <c r="F37"/>
  <c r="F44" s="1"/>
  <c r="F46" s="1"/>
  <c r="L68" i="25"/>
  <c r="L66" s="1"/>
  <c r="L71" s="1"/>
  <c r="H34" i="23"/>
  <c r="H54" s="1"/>
  <c r="L40" i="25"/>
  <c r="F13" i="26"/>
  <c r="F9"/>
  <c r="N30" i="15"/>
  <c r="M39" i="25"/>
  <c r="K37"/>
  <c r="K73"/>
  <c r="F11" i="26"/>
  <c r="O32" i="25"/>
  <c r="H18" i="23"/>
  <c r="H42"/>
  <c r="K11" i="26" s="1"/>
  <c r="H19" i="22"/>
  <c r="S27" i="21"/>
  <c r="R24"/>
  <c r="O16" i="15"/>
  <c r="O15" s="1"/>
  <c r="F7" i="2"/>
  <c r="F7" i="5"/>
  <c r="F6" s="1"/>
  <c r="D7"/>
  <c r="D6" s="1"/>
  <c r="K191" i="6"/>
  <c r="K5" i="7"/>
  <c r="L5" s="1"/>
  <c r="D28" i="8"/>
  <c r="D30" s="1"/>
  <c r="H17" i="10"/>
  <c r="I24" i="9"/>
  <c r="I26" s="1"/>
  <c r="J6"/>
  <c r="E6" i="10"/>
  <c r="F17"/>
  <c r="F6" s="1"/>
  <c r="H33"/>
  <c r="G28"/>
  <c r="F25"/>
  <c r="F24" s="1"/>
  <c r="H16"/>
  <c r="H12" s="1"/>
  <c r="G12"/>
  <c r="G6" s="1"/>
  <c r="G6" i="8"/>
  <c r="K11" i="7"/>
  <c r="L12"/>
  <c r="L11" s="1"/>
  <c r="O52" i="6"/>
  <c r="O51" s="1"/>
  <c r="N51"/>
  <c r="N109"/>
  <c r="N108" s="1"/>
  <c r="O110"/>
  <c r="O109" s="1"/>
  <c r="O108" s="1"/>
  <c r="O43"/>
  <c r="M167"/>
  <c r="O120"/>
  <c r="O67"/>
  <c r="O189"/>
  <c r="O188" s="1"/>
  <c r="O187" s="1"/>
  <c r="N188"/>
  <c r="N187" s="1"/>
  <c r="O173"/>
  <c r="O172" s="1"/>
  <c r="O171" s="1"/>
  <c r="O167" s="1"/>
  <c r="N172"/>
  <c r="N171" s="1"/>
  <c r="N167" s="1"/>
  <c r="O99"/>
  <c r="O98" s="1"/>
  <c r="N98"/>
  <c r="O46"/>
  <c r="O45" s="1"/>
  <c r="N45"/>
  <c r="N31" s="1"/>
  <c r="N29" s="1"/>
  <c r="N12" s="1"/>
  <c r="N67"/>
  <c r="P38" i="21" l="1"/>
  <c r="P56" s="1"/>
  <c r="D79" s="1"/>
  <c r="I48" i="23"/>
  <c r="R23" i="21"/>
  <c r="J39" i="23"/>
  <c r="F52"/>
  <c r="H12" i="22"/>
  <c r="H17" s="1"/>
  <c r="H11" i="23"/>
  <c r="H16" s="1"/>
  <c r="M40" i="25"/>
  <c r="M73" s="1"/>
  <c r="I34" i="23"/>
  <c r="I54" s="1"/>
  <c r="M68" i="25"/>
  <c r="M66" s="1"/>
  <c r="M71" s="1"/>
  <c r="L37"/>
  <c r="L73"/>
  <c r="H21" i="22"/>
  <c r="H22" s="1"/>
  <c r="H20" i="23"/>
  <c r="H29" s="1"/>
  <c r="I11"/>
  <c r="I16" s="1"/>
  <c r="I12" i="22"/>
  <c r="I17" s="1"/>
  <c r="O30" i="15"/>
  <c r="N39" i="25"/>
  <c r="G31" i="23"/>
  <c r="K23" i="25"/>
  <c r="K43" s="1"/>
  <c r="K61" s="1"/>
  <c r="D85" s="1"/>
  <c r="E39" i="10"/>
  <c r="E57" s="1"/>
  <c r="G11" i="23"/>
  <c r="G16" s="1"/>
  <c r="G20" s="1"/>
  <c r="G29" s="1"/>
  <c r="G12" i="22"/>
  <c r="G17" s="1"/>
  <c r="G21" s="1"/>
  <c r="G22" s="1"/>
  <c r="I18" i="23"/>
  <c r="I20" s="1"/>
  <c r="I29" s="1"/>
  <c r="I42"/>
  <c r="M11" i="26" s="1"/>
  <c r="I19" i="22"/>
  <c r="I21" s="1"/>
  <c r="I22" s="1"/>
  <c r="H6" i="10"/>
  <c r="F39"/>
  <c r="F57" s="1"/>
  <c r="I37"/>
  <c r="I36"/>
  <c r="G25"/>
  <c r="G24" s="1"/>
  <c r="G39" s="1"/>
  <c r="G57" s="1"/>
  <c r="H28"/>
  <c r="I35"/>
  <c r="H6" i="8"/>
  <c r="G13"/>
  <c r="O31" i="6"/>
  <c r="O29" s="1"/>
  <c r="O12" s="1"/>
  <c r="R38" i="21" l="1"/>
  <c r="R56" s="1"/>
  <c r="D80" s="1"/>
  <c r="J48" i="23"/>
  <c r="M37" i="25"/>
  <c r="I31" i="23" s="1"/>
  <c r="G36"/>
  <c r="I9" i="26" s="1"/>
  <c r="G47" i="23"/>
  <c r="H31"/>
  <c r="L23" i="25"/>
  <c r="L43" s="1"/>
  <c r="L61" s="1"/>
  <c r="D86" s="1"/>
  <c r="G37" i="23"/>
  <c r="G46" s="1"/>
  <c r="N68" i="25"/>
  <c r="N66" s="1"/>
  <c r="N71" s="1"/>
  <c r="J34" i="23"/>
  <c r="J54" s="1"/>
  <c r="N40" i="25"/>
  <c r="J11" i="23"/>
  <c r="J16" s="1"/>
  <c r="J12" i="22"/>
  <c r="J17" s="1"/>
  <c r="H52" i="23"/>
  <c r="I52"/>
  <c r="J18"/>
  <c r="J20" s="1"/>
  <c r="J29" s="1"/>
  <c r="J42"/>
  <c r="O11" i="26" s="1"/>
  <c r="J19" i="22"/>
  <c r="I28" i="10"/>
  <c r="H25"/>
  <c r="H24" s="1"/>
  <c r="H39" s="1"/>
  <c r="H57" s="1"/>
  <c r="H13" i="8"/>
  <c r="M23" i="25" l="1"/>
  <c r="M43" s="1"/>
  <c r="M61" s="1"/>
  <c r="D87" s="1"/>
  <c r="J21" i="22"/>
  <c r="J22" s="1"/>
  <c r="I36" i="23"/>
  <c r="I47"/>
  <c r="N37" i="25"/>
  <c r="O40" s="1"/>
  <c r="N73"/>
  <c r="H36" i="23"/>
  <c r="H47"/>
  <c r="I13" i="26"/>
  <c r="H9" s="1"/>
  <c r="J52" i="23"/>
  <c r="X80" i="3"/>
  <c r="Y80"/>
  <c r="Z80"/>
  <c r="AA80"/>
  <c r="AB80"/>
  <c r="AC80"/>
  <c r="AD80"/>
  <c r="AE80"/>
  <c r="AF80"/>
  <c r="AG80"/>
  <c r="AH80"/>
  <c r="AI80"/>
  <c r="AJ80"/>
  <c r="E80"/>
  <c r="D12" i="1" s="1"/>
  <c r="F80" i="3"/>
  <c r="D13" i="1" s="1"/>
  <c r="G80" i="3"/>
  <c r="E11" i="1" s="1"/>
  <c r="H80" i="3"/>
  <c r="E12" i="1" s="1"/>
  <c r="I80" i="3"/>
  <c r="E13" i="1" s="1"/>
  <c r="J80" i="3"/>
  <c r="F11" i="1" s="1"/>
  <c r="K80" i="3"/>
  <c r="L80"/>
  <c r="F13" i="1" s="1"/>
  <c r="M80" i="3"/>
  <c r="G11" i="1" s="1"/>
  <c r="N80" i="3"/>
  <c r="G12" i="1" s="1"/>
  <c r="O80" i="3"/>
  <c r="G13" i="1" s="1"/>
  <c r="P80" i="3"/>
  <c r="H11" i="1" s="1"/>
  <c r="Q80" i="3"/>
  <c r="H12" i="1" s="1"/>
  <c r="R80" i="3"/>
  <c r="H13" i="1" s="1"/>
  <c r="S80" i="3"/>
  <c r="T80"/>
  <c r="U80"/>
  <c r="V80"/>
  <c r="W80"/>
  <c r="D80"/>
  <c r="D11" i="1" s="1"/>
  <c r="E20" i="2"/>
  <c r="F20"/>
  <c r="G20"/>
  <c r="H20"/>
  <c r="I20"/>
  <c r="J20"/>
  <c r="K20"/>
  <c r="L20"/>
  <c r="M20"/>
  <c r="N20"/>
  <c r="D20"/>
  <c r="E11"/>
  <c r="F11"/>
  <c r="G11"/>
  <c r="H11"/>
  <c r="I11"/>
  <c r="I22" s="1"/>
  <c r="J11"/>
  <c r="J22" s="1"/>
  <c r="D11"/>
  <c r="J31" i="23" l="1"/>
  <c r="O41" i="25"/>
  <c r="N23"/>
  <c r="N43" s="1"/>
  <c r="N61" s="1"/>
  <c r="D88" s="1"/>
  <c r="O39"/>
  <c r="M9" i="26"/>
  <c r="I37" i="23"/>
  <c r="I46" s="1"/>
  <c r="H13" i="26"/>
  <c r="H11"/>
  <c r="K9"/>
  <c r="H37" i="23"/>
  <c r="H46" s="1"/>
  <c r="H22" i="2"/>
  <c r="D10" i="1"/>
  <c r="D15" s="1"/>
  <c r="E11" i="14" s="1"/>
  <c r="G11" s="1"/>
  <c r="G22" i="2"/>
  <c r="D22"/>
  <c r="E22"/>
  <c r="F22"/>
  <c r="H10" i="1"/>
  <c r="H15" s="1"/>
  <c r="E15" i="14" s="1"/>
  <c r="G15" s="1"/>
  <c r="E10" i="1"/>
  <c r="E15" s="1"/>
  <c r="E12" i="14" s="1"/>
  <c r="G12" s="1"/>
  <c r="F12" i="1"/>
  <c r="F10" s="1"/>
  <c r="F15" s="1"/>
  <c r="E13" i="14" s="1"/>
  <c r="G13" s="1"/>
  <c r="G10" i="1"/>
  <c r="G15" s="1"/>
  <c r="E14" i="14" s="1"/>
  <c r="G14" s="1"/>
  <c r="L162" i="6"/>
  <c r="L161" s="1"/>
  <c r="L160" s="1"/>
  <c r="J16" i="9"/>
  <c r="J14" s="1"/>
  <c r="J5" s="1"/>
  <c r="M11" i="7"/>
  <c r="M5" s="1"/>
  <c r="E28" i="8" s="1"/>
  <c r="E30" s="1"/>
  <c r="M165" i="6"/>
  <c r="M164" s="1"/>
  <c r="M163" s="1"/>
  <c r="M147" s="1"/>
  <c r="L165"/>
  <c r="L164" s="1"/>
  <c r="L163" s="1"/>
  <c r="E20" i="8"/>
  <c r="E15"/>
  <c r="L147" i="6" l="1"/>
  <c r="L10" s="1"/>
  <c r="K13" i="26"/>
  <c r="M13"/>
  <c r="J36" i="23"/>
  <c r="J47"/>
  <c r="M191" i="6"/>
  <c r="M10"/>
  <c r="F20" i="8"/>
  <c r="F15" s="1"/>
  <c r="N11" i="7"/>
  <c r="N5" s="1"/>
  <c r="F28" i="8" s="1"/>
  <c r="F30" s="1"/>
  <c r="K16" i="9"/>
  <c r="K14" s="1"/>
  <c r="K5" s="1"/>
  <c r="K5" i="2" l="1"/>
  <c r="K11" s="1"/>
  <c r="K22" s="1"/>
  <c r="Q15" i="6"/>
  <c r="L5" i="2"/>
  <c r="L11" s="1"/>
  <c r="L22" s="1"/>
  <c r="Q14" i="6"/>
  <c r="L191"/>
  <c r="O9" i="26"/>
  <c r="J37" i="23"/>
  <c r="J46" s="1"/>
  <c r="L13" i="26"/>
  <c r="L11"/>
  <c r="J13"/>
  <c r="J11"/>
  <c r="L9"/>
  <c r="J9"/>
  <c r="O11" i="7"/>
  <c r="O5" s="1"/>
  <c r="G28" i="8" s="1"/>
  <c r="G30" s="1"/>
  <c r="L16" i="9"/>
  <c r="L14" s="1"/>
  <c r="L5" s="1"/>
  <c r="N165" i="6"/>
  <c r="N164" s="1"/>
  <c r="N163" s="1"/>
  <c r="N147" s="1"/>
  <c r="G20" i="8"/>
  <c r="G15" s="1"/>
  <c r="O13" i="26" l="1"/>
  <c r="N191" i="6"/>
  <c r="N10"/>
  <c r="P11" i="7"/>
  <c r="P5" s="1"/>
  <c r="H28" i="8" s="1"/>
  <c r="H30" s="1"/>
  <c r="M16" i="9"/>
  <c r="M14" s="1"/>
  <c r="M5" s="1"/>
  <c r="O165" i="6"/>
  <c r="O164" s="1"/>
  <c r="O163" s="1"/>
  <c r="O147" s="1"/>
  <c r="H20" i="8"/>
  <c r="H15" s="1"/>
  <c r="M5" i="2" l="1"/>
  <c r="M11" s="1"/>
  <c r="M22" s="1"/>
  <c r="Q13" i="6"/>
  <c r="N13" i="26"/>
  <c r="N11"/>
  <c r="N9"/>
  <c r="O191" i="6"/>
  <c r="O10"/>
  <c r="N5" i="2" s="1"/>
  <c r="N11" s="1"/>
  <c r="N22" s="1"/>
  <c r="G25" i="8"/>
  <c r="G18"/>
  <c r="E18"/>
  <c r="E25"/>
  <c r="D25"/>
  <c r="D18"/>
  <c r="F25"/>
  <c r="F18"/>
  <c r="H18"/>
  <c r="H25"/>
</calcChain>
</file>

<file path=xl/comments1.xml><?xml version="1.0" encoding="utf-8"?>
<comments xmlns="http://schemas.openxmlformats.org/spreadsheetml/2006/main">
  <authors>
    <author>Maz Bagoes</author>
    <author>SERVER_GAJI</author>
  </authors>
  <commentList>
    <comment ref="M17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3 rek sama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3 rek sama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2 rek sama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2 rek sama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2 rek sama</t>
        </r>
      </text>
    </comment>
    <comment ref="Q74" authorId="1">
      <text>
        <r>
          <rPr>
            <b/>
            <sz val="8"/>
            <color indexed="81"/>
            <rFont val="Tahoma"/>
            <family val="2"/>
          </rPr>
          <t>SERVER_GAJI:</t>
        </r>
        <r>
          <rPr>
            <sz val="8"/>
            <color indexed="81"/>
            <rFont val="Tahoma"/>
            <family val="2"/>
          </rPr>
          <t xml:space="preserve">
ada 2</t>
        </r>
      </text>
    </comment>
    <comment ref="K75" authorId="0">
      <text>
        <r>
          <rPr>
            <b/>
            <sz val="9"/>
            <color indexed="81"/>
            <rFont val="Tahoma"/>
            <family val="2"/>
          </rPr>
          <t>Maz Bagoes:</t>
        </r>
        <r>
          <rPr>
            <sz val="9"/>
            <color indexed="81"/>
            <rFont val="Tahoma"/>
            <family val="2"/>
          </rPr>
          <t xml:space="preserve">
penjumlahan 2 rek sama</t>
        </r>
      </text>
    </comment>
  </commentList>
</comments>
</file>

<file path=xl/sharedStrings.xml><?xml version="1.0" encoding="utf-8"?>
<sst xmlns="http://schemas.openxmlformats.org/spreadsheetml/2006/main" count="1255" uniqueCount="622">
  <si>
    <t>BELANJA TIDAK LANGSUNG</t>
  </si>
  <si>
    <t>BELANJA LANGSUNG</t>
  </si>
  <si>
    <t>PEMBIAYAAN</t>
  </si>
  <si>
    <t>Pembentukan Dana Cadangan</t>
  </si>
  <si>
    <t>Pembayaran pokok hutang</t>
  </si>
  <si>
    <t>Belanja Pegawai</t>
  </si>
  <si>
    <t>Belanja Bunga</t>
  </si>
  <si>
    <t>REALISASI PENDAPATAN DAERAH</t>
  </si>
  <si>
    <t xml:space="preserve"> </t>
  </si>
  <si>
    <t>REALISASI BELANJA DAERAH</t>
  </si>
  <si>
    <t>SILPA</t>
  </si>
  <si>
    <t>PENCAIRAN DANA CADANGAN</t>
  </si>
  <si>
    <t>PENERIMAAN PINJAMAN</t>
  </si>
  <si>
    <t>PENERIMAAN RETENSI</t>
  </si>
  <si>
    <t>REALISASI PENERIMAAN PEMBIAYAAN</t>
  </si>
  <si>
    <t>SiLPA TAHUN BERKENAAN</t>
  </si>
  <si>
    <t>I</t>
  </si>
  <si>
    <t>II</t>
  </si>
  <si>
    <t>III</t>
  </si>
  <si>
    <t>REALISASI PENGELUARAN PEMBIAYAAN</t>
  </si>
  <si>
    <t>DEFISIT RIIL (I - II - III )</t>
  </si>
  <si>
    <t>V</t>
  </si>
  <si>
    <t>IV</t>
  </si>
  <si>
    <t>VI</t>
  </si>
  <si>
    <t>VII</t>
  </si>
  <si>
    <t>VIII</t>
  </si>
  <si>
    <t>IX</t>
  </si>
  <si>
    <t>X</t>
  </si>
  <si>
    <t>Belanja Pelayanan Adminsitrasi Perkantoran</t>
  </si>
  <si>
    <t>Belanja Peningkatan Sarana dan Prasarana Aparatur</t>
  </si>
  <si>
    <t>Belanja Peningkatan Disiplin Aparatur</t>
  </si>
  <si>
    <t>SKPD</t>
  </si>
  <si>
    <t>Dinas Pendidikan</t>
  </si>
  <si>
    <t>Dinas Kesehatan</t>
  </si>
  <si>
    <t>Rumah Sakit Umum</t>
  </si>
  <si>
    <t>Dinas Pekerjaan Umum</t>
  </si>
  <si>
    <t>Badan Perencanaan Pembangunan Daerah</t>
  </si>
  <si>
    <t>Dinas Perhubungan, Komunikasi dan Informatika</t>
  </si>
  <si>
    <t>Badan Lingkungan Hidup</t>
  </si>
  <si>
    <t>Dinas Kependudukan dan Pencatatan Sipil</t>
  </si>
  <si>
    <t>Badan Keluarga Berencana dan Pemberdayaan Perempuan</t>
  </si>
  <si>
    <t>Dinas Sosial</t>
  </si>
  <si>
    <t>Dinas Tenaga Kerja dan Transmigrasi</t>
  </si>
  <si>
    <t>Kantor Pelayanan Perijinan dan Penanaman Modal</t>
  </si>
  <si>
    <t>Dinas Kebudayaan, Pariwisata, Pemuda dan Olah Raga</t>
  </si>
  <si>
    <t>Satuan Polisi Pamong Praja</t>
  </si>
  <si>
    <t>Kantor Kesatuan Bangsa</t>
  </si>
  <si>
    <t>Dewan Perwakilan Rakyat Daerah</t>
  </si>
  <si>
    <t>Bupati dan Wakil Bupati</t>
  </si>
  <si>
    <t>Sekretariat Daerah</t>
  </si>
  <si>
    <t>Sekretariat Dewan Perwakilan Rakyat Daerah</t>
  </si>
  <si>
    <t>Dinas Pendapatan, Pengelolaan Keuangan dan Aset Daerah</t>
  </si>
  <si>
    <t>Inspektorat</t>
  </si>
  <si>
    <t>Badan Kepegawaian Daerah</t>
  </si>
  <si>
    <t>Kecamatan Temanggung</t>
  </si>
  <si>
    <t>Kecamatan Tembarak</t>
  </si>
  <si>
    <t>Kecamatan Pringsurat</t>
  </si>
  <si>
    <t>Kecamatan Kaloran</t>
  </si>
  <si>
    <t>Kecamatan Parakan</t>
  </si>
  <si>
    <t>Kecamatan B u l u</t>
  </si>
  <si>
    <t>Kecamatan K e d u</t>
  </si>
  <si>
    <t>Kecamatan Kandangan</t>
  </si>
  <si>
    <t>Kecamatan Candiroto</t>
  </si>
  <si>
    <t>Kecamatan Ngadirejo</t>
  </si>
  <si>
    <t>Kecamatan J u m o</t>
  </si>
  <si>
    <t>Kecamatan Wonoboyo</t>
  </si>
  <si>
    <t>Kecamatan Kranggan</t>
  </si>
  <si>
    <t>Kecamatan B e j e n</t>
  </si>
  <si>
    <t>Kecamatan Kledung</t>
  </si>
  <si>
    <t>Kecamatan Bansari</t>
  </si>
  <si>
    <t>Kecamatan Tlogomulyo</t>
  </si>
  <si>
    <t>Kecamatan Selopampang</t>
  </si>
  <si>
    <t>Kecamatan Gemawang</t>
  </si>
  <si>
    <t>Kecamatan Tretep</t>
  </si>
  <si>
    <t>Kelurahan Temanggung I</t>
  </si>
  <si>
    <t>Kelurahan Temanggung II</t>
  </si>
  <si>
    <t>Kelurahan Butuh</t>
  </si>
  <si>
    <t>Kelurahan Jampiroso</t>
  </si>
  <si>
    <t>Kelurahan Jampirejo</t>
  </si>
  <si>
    <t>Kelurahan Kertosari</t>
  </si>
  <si>
    <t>Kelurahan Banyuurip</t>
  </si>
  <si>
    <t>Kelurahan Kowangan</t>
  </si>
  <si>
    <t>Kelurahan Jurang</t>
  </si>
  <si>
    <t>Kelurahan Tlogorejo</t>
  </si>
  <si>
    <t>Kelurahan Kebonsari</t>
  </si>
  <si>
    <t>Kelurahan Manding</t>
  </si>
  <si>
    <t>Kelurahan Mungseng</t>
  </si>
  <si>
    <t>Kelurahan Purworejo</t>
  </si>
  <si>
    <t>Kelurahan Giyanti</t>
  </si>
  <si>
    <t>Kelurahan Madureso</t>
  </si>
  <si>
    <t>Kelurahan Sidorejo</t>
  </si>
  <si>
    <t>Kelurahan Walitelon Selatan</t>
  </si>
  <si>
    <t>Kelurahan Walitelon Utara</t>
  </si>
  <si>
    <t>Kelurahan Kranggan</t>
  </si>
  <si>
    <t>Kelurahan Parakan Wetan</t>
  </si>
  <si>
    <t>Kelurahan Parakan Kauman</t>
  </si>
  <si>
    <t>Kelurahan Manggong</t>
  </si>
  <si>
    <t>Badan Penanggulangan Bencana Daerah</t>
  </si>
  <si>
    <t>Kantor Ketahanan Pangan</t>
  </si>
  <si>
    <t>Badan Pemberdayaan Masyarakat dan Desa</t>
  </si>
  <si>
    <t>Kantor Arsip, Perpustakaan dan Dokumentasi</t>
  </si>
  <si>
    <t>Dinas Pertanian, Perkebunan, dan Kehutanan</t>
  </si>
  <si>
    <t>Dinas Peternakan dan Perikanan</t>
  </si>
  <si>
    <t>Badan Pelaksana Penyuluhan</t>
  </si>
  <si>
    <t>Dinas Perindustrian, Perdagangan, Koperasi, dan UMKM</t>
  </si>
  <si>
    <t>RINGKASAN REALISASI PENDAPATAN DAERAH</t>
  </si>
  <si>
    <t>No</t>
  </si>
  <si>
    <t>U R A I A N</t>
  </si>
  <si>
    <t>Rata-Rata Pertumbuhan</t>
  </si>
  <si>
    <t>1</t>
  </si>
  <si>
    <t>PENDAPATAN DAERAH</t>
  </si>
  <si>
    <t>1.1</t>
  </si>
  <si>
    <t>PENDAPATAN ASLI DAERAH</t>
  </si>
  <si>
    <t>1.1.1</t>
  </si>
  <si>
    <t>Pajak Daerah</t>
  </si>
  <si>
    <t>1.1.2</t>
  </si>
  <si>
    <t>Retribusi Daerah</t>
  </si>
  <si>
    <t>1.1.3</t>
  </si>
  <si>
    <t>Pengelolaan Kekayaan Daerah yang Dipisahkan</t>
  </si>
  <si>
    <t>1.1.4</t>
  </si>
  <si>
    <t>Lain-lain Pendapatan Asli Daerah yang Sah</t>
  </si>
  <si>
    <t>1.2</t>
  </si>
  <si>
    <t>DANA PERIMBANGAN</t>
  </si>
  <si>
    <t>1.2.1</t>
  </si>
  <si>
    <t>Dana Bagi Hasil</t>
  </si>
  <si>
    <t>1.2.2</t>
  </si>
  <si>
    <t>Dana Alokasi Umum</t>
  </si>
  <si>
    <t>1.2.3</t>
  </si>
  <si>
    <t>Dana Alokasi Khusus</t>
  </si>
  <si>
    <t>1.3</t>
  </si>
  <si>
    <t>LAIN-LAIN PENDAPATAN YANG SAH</t>
  </si>
  <si>
    <t>1.3.1</t>
  </si>
  <si>
    <t>Pendapatan Hibah</t>
  </si>
  <si>
    <t>1.3.3</t>
  </si>
  <si>
    <t>Bagi Hasil Pajak dari Provinsi dan Pemerintah Daerah Lainnya</t>
  </si>
  <si>
    <t>1.3.4</t>
  </si>
  <si>
    <t>Dana Penyesuaian dan Otonomi Khusus</t>
  </si>
  <si>
    <t>1.3.5</t>
  </si>
  <si>
    <t>Bantuan Keuangan dari Provinsi dan Pemerintah daerah Lainnya</t>
  </si>
  <si>
    <t>HIBAH</t>
  </si>
  <si>
    <t>RINGKASAN RAPERDA</t>
  </si>
  <si>
    <t>APBD TAHUN ANGGARAN 2014</t>
  </si>
  <si>
    <t>Uraian</t>
  </si>
  <si>
    <t>2</t>
  </si>
  <si>
    <t>BELANJA</t>
  </si>
  <si>
    <t>2.1</t>
  </si>
  <si>
    <t>2.1.1</t>
  </si>
  <si>
    <t>2.1.2</t>
  </si>
  <si>
    <t>2.1.4</t>
  </si>
  <si>
    <t>Belanja Hibah</t>
  </si>
  <si>
    <t>2.1.5</t>
  </si>
  <si>
    <t>Belanja Bantuan Sosial</t>
  </si>
  <si>
    <t>2.1.6</t>
  </si>
  <si>
    <t>Belanja Bagi Hasil Kepada Pemerintah Desa</t>
  </si>
  <si>
    <t>2.1.7</t>
  </si>
  <si>
    <t>Belanja Bantuan Keuangan kepada Pemerintah Desa</t>
  </si>
  <si>
    <t>2.1.8</t>
  </si>
  <si>
    <t>Belanja Tidak Terduga</t>
  </si>
  <si>
    <t>2.2</t>
  </si>
  <si>
    <t>2.2.1</t>
  </si>
  <si>
    <t>2.2.2</t>
  </si>
  <si>
    <t>Belanja Barang dan Jasa</t>
  </si>
  <si>
    <t>2.2.3</t>
  </si>
  <si>
    <t>Belanja Modal</t>
  </si>
  <si>
    <t>KODE REKENING</t>
  </si>
  <si>
    <t>NAMA</t>
  </si>
  <si>
    <t>RENCANA</t>
  </si>
  <si>
    <t>PERUBAHAN</t>
  </si>
  <si>
    <t>TARGET 2013</t>
  </si>
  <si>
    <t>Realisasi 2013</t>
  </si>
  <si>
    <t>RKPA 2013</t>
  </si>
  <si>
    <t>4</t>
  </si>
  <si>
    <t>41</t>
  </si>
  <si>
    <t>Pendapatan Asli Daerah</t>
  </si>
  <si>
    <t>411</t>
  </si>
  <si>
    <t>Hasil Pajak Daerah1)</t>
  </si>
  <si>
    <t>41101</t>
  </si>
  <si>
    <t>Pajak Hotel</t>
  </si>
  <si>
    <t>41102</t>
  </si>
  <si>
    <t>Pajak Restoran</t>
  </si>
  <si>
    <t>41103</t>
  </si>
  <si>
    <t>Pajak Hiburan</t>
  </si>
  <si>
    <t>41104</t>
  </si>
  <si>
    <t>Pajak Reklame</t>
  </si>
  <si>
    <t>41105</t>
  </si>
  <si>
    <t>Pajak Penerangan Jalan</t>
  </si>
  <si>
    <t>41106</t>
  </si>
  <si>
    <t>Pajak Gol C</t>
  </si>
  <si>
    <t>41107</t>
  </si>
  <si>
    <t>Bea Perolehan Hak Atas Tanah dan Bangunan</t>
  </si>
  <si>
    <t>41108</t>
  </si>
  <si>
    <t>Pajak Air Tanah</t>
  </si>
  <si>
    <t>41109</t>
  </si>
  <si>
    <t>Pajak Parkir</t>
  </si>
  <si>
    <t>41110</t>
  </si>
  <si>
    <t>Pajak Bumi dan Bangunan</t>
  </si>
  <si>
    <t>412</t>
  </si>
  <si>
    <t>Hasil Retribusi Daerah 1)</t>
  </si>
  <si>
    <t>41201</t>
  </si>
  <si>
    <t>Retribusi Jasa Umum</t>
  </si>
  <si>
    <t>4120101</t>
  </si>
  <si>
    <t>Retribusi Pelayanan Kesehatan</t>
  </si>
  <si>
    <t>4120101.01</t>
  </si>
  <si>
    <t>Pelayanan Kesehatan di Puskesmas</t>
  </si>
  <si>
    <t>Pemeriksaan Calon Mempelai (Caten)</t>
  </si>
  <si>
    <t>4120101.04</t>
  </si>
  <si>
    <t>Pelayanan Pemeriksaan Kesehatan Lingkungan</t>
  </si>
  <si>
    <t>Pelayanan kesehatan terdaftar</t>
  </si>
  <si>
    <t>4120101.05</t>
  </si>
  <si>
    <t xml:space="preserve">Pelayanan Jamkesmas dan jampersal </t>
  </si>
  <si>
    <t>4120101.06</t>
  </si>
  <si>
    <t>Kapitasi pelayanan Askes</t>
  </si>
  <si>
    <t>Kapitasi pelayanan BPJS</t>
  </si>
  <si>
    <t>Pelayanan Kesehatan RSUD</t>
  </si>
  <si>
    <t>4120102</t>
  </si>
  <si>
    <t>Retribusi Pelayanan Persampahan/Kebersihan/RKK</t>
  </si>
  <si>
    <t>4120103</t>
  </si>
  <si>
    <t>Retribusi Penggantian Biaya KTP dan Akte Catatan Sipil</t>
  </si>
  <si>
    <t>4120103.01</t>
  </si>
  <si>
    <t>Pelayanan KTP</t>
  </si>
  <si>
    <t>4120103.02</t>
  </si>
  <si>
    <t>Akte Catatan Sipil</t>
  </si>
  <si>
    <t>4120104.</t>
  </si>
  <si>
    <t>Retribusi Pel Pemakaman &amp;pengabuan mayat</t>
  </si>
  <si>
    <t>4120105</t>
  </si>
  <si>
    <t>Retribusi Pelayanan Parkir di tepi jalan umum</t>
  </si>
  <si>
    <t>4120113</t>
  </si>
  <si>
    <t>Tunggakan Retribusi Pelayanan Parkir di tepi jalan umum</t>
  </si>
  <si>
    <t>4120106</t>
  </si>
  <si>
    <t>Retribusi Pelayanan Pasar</t>
  </si>
  <si>
    <t>Retribusi Oprit</t>
  </si>
  <si>
    <t>Retribusi Inseminasi Buatan</t>
  </si>
  <si>
    <t>Retribusi Pengujian Kendaraan Bermotor</t>
  </si>
  <si>
    <t>4120311</t>
  </si>
  <si>
    <t>Retribusi Pengendalian Menara Telekomunikasi</t>
  </si>
  <si>
    <t>412010604</t>
  </si>
  <si>
    <t>Pasar agro Kranggan</t>
  </si>
  <si>
    <t>41202</t>
  </si>
  <si>
    <t>Retribusi Jasa Usaha</t>
  </si>
  <si>
    <t>41202,01</t>
  </si>
  <si>
    <t>Retribusi pemakaian kekayaan daerah</t>
  </si>
  <si>
    <t>41202,01,01</t>
  </si>
  <si>
    <t>Retribusi Sewa Gedung Pertemuan</t>
  </si>
  <si>
    <t>41202,01,02</t>
  </si>
  <si>
    <t>Retribusi sewa balai kelurahan</t>
  </si>
  <si>
    <t>Pedagang kaki lima</t>
  </si>
  <si>
    <t>41202,01,03</t>
  </si>
  <si>
    <t>Retribusi Sewa Mesin Gilas</t>
  </si>
  <si>
    <t>41202,01,04</t>
  </si>
  <si>
    <t>Retribusi Sewa Tempat Reklame</t>
  </si>
  <si>
    <t>Retribusi Sewa Penggilingan padi</t>
  </si>
  <si>
    <t>4120204</t>
  </si>
  <si>
    <t>Retribusi Terminal</t>
  </si>
  <si>
    <t>4120204.01</t>
  </si>
  <si>
    <t>Retribusi TPR Terminal Bus</t>
  </si>
  <si>
    <t>4120204.02</t>
  </si>
  <si>
    <t>Retribusi TPR Terminal Angkudes</t>
  </si>
  <si>
    <t>4120205</t>
  </si>
  <si>
    <t>Retribusi Tempat Khusus Parkir</t>
  </si>
  <si>
    <t>Tunggakan Retribusi Tempak Khusus Parkir</t>
  </si>
  <si>
    <t>4120223</t>
  </si>
  <si>
    <t>4120208</t>
  </si>
  <si>
    <t>Retribusi  Rumah Potong Hewan</t>
  </si>
  <si>
    <t>Retribusi Pelayanan kesehatan ternak</t>
  </si>
  <si>
    <t>Retribusi tempat rekreasi dan olah raga</t>
  </si>
  <si>
    <t>4120220</t>
  </si>
  <si>
    <t>Retribusi Penjualan Produk Usaha Daerah Balai Benih Ikan</t>
  </si>
  <si>
    <t>Sewa gedung olah raga</t>
  </si>
  <si>
    <t>Sewa tanah bengkok</t>
  </si>
  <si>
    <t>Swa RM Ngesti roso</t>
  </si>
  <si>
    <t>Sewa mesin gilas</t>
  </si>
  <si>
    <t>Sewa tanah lambiran</t>
  </si>
  <si>
    <t>sewa tanah reklame</t>
  </si>
  <si>
    <t>BBI</t>
  </si>
  <si>
    <t>Kolam air deras</t>
  </si>
  <si>
    <t>Pasar ikan dangkel</t>
  </si>
  <si>
    <t>syawalan</t>
  </si>
  <si>
    <t>41203</t>
  </si>
  <si>
    <t>Retribusi Perizinan Tertentu</t>
  </si>
  <si>
    <t>4120301</t>
  </si>
  <si>
    <t>Retribusi Izin Mendirikan Bangunan</t>
  </si>
  <si>
    <t>4120303</t>
  </si>
  <si>
    <t>Retribusi Izin Gangguan/Keramaian</t>
  </si>
  <si>
    <t>4120304</t>
  </si>
  <si>
    <t>Retribusi Izin Trayek</t>
  </si>
  <si>
    <t>Retribusi izin tebang angkut</t>
  </si>
  <si>
    <t>Retribusi pengujian kendaraan bermotor</t>
  </si>
  <si>
    <t>menara</t>
  </si>
  <si>
    <t>Retribusi izin Usaha Jasa Konstruksi</t>
  </si>
  <si>
    <t>Yankes dan kesehatan terdaftar</t>
  </si>
  <si>
    <t>413</t>
  </si>
  <si>
    <t>Hasil Pengelolaan Kekayaan Daerah yang Dipisahkan</t>
  </si>
  <si>
    <t>41301</t>
  </si>
  <si>
    <t>Bagian Laba atas penyertaan modal pada Perusahaan Milik Daerah/BUMD</t>
  </si>
  <si>
    <t>4130101</t>
  </si>
  <si>
    <t>Bank Jateng</t>
  </si>
  <si>
    <t>4130102</t>
  </si>
  <si>
    <t>Perusahaan Daerah Air Minum</t>
  </si>
  <si>
    <t>4130103</t>
  </si>
  <si>
    <t>Perusahaan Daerah Bank Pasar</t>
  </si>
  <si>
    <t>4130104</t>
  </si>
  <si>
    <t>Perusahaan Daerah Apotik Waringin Mulyo</t>
  </si>
  <si>
    <t>BKK</t>
  </si>
  <si>
    <t>PD BPR BKK Temanggung</t>
  </si>
  <si>
    <t>4130106</t>
  </si>
  <si>
    <t>PD BPR BKK Pringsurat</t>
  </si>
  <si>
    <t>4130107</t>
  </si>
  <si>
    <t>Perusahaan Daerah Aneka Usaha</t>
  </si>
  <si>
    <t>4130108</t>
  </si>
  <si>
    <t>Perusahaan Daerah Bhumi Phala Wisata</t>
  </si>
  <si>
    <t>414</t>
  </si>
  <si>
    <t>41401</t>
  </si>
  <si>
    <t>Hasil Penjualan Aset Daerah Yang Tidak Dipisahkan</t>
  </si>
  <si>
    <t>4140107</t>
  </si>
  <si>
    <t>Penjualan Drum Bekas</t>
  </si>
  <si>
    <t>4140115</t>
  </si>
  <si>
    <t>Penjualan hasil perkebunan</t>
  </si>
  <si>
    <t>4140119</t>
  </si>
  <si>
    <t>Penerimaan Radio Temanggung</t>
  </si>
  <si>
    <t>4140120</t>
  </si>
  <si>
    <t>Penjualan Pasar Kliwon Temanggung</t>
  </si>
  <si>
    <t>4140121</t>
  </si>
  <si>
    <t>Penjualan Pasar Wage Ngadirejo</t>
  </si>
  <si>
    <t>Penjualan Pasar Legi Parakan</t>
  </si>
  <si>
    <t>Pekan syawalan</t>
  </si>
  <si>
    <t>4140122</t>
  </si>
  <si>
    <t>Pendapatan lainnya</t>
  </si>
  <si>
    <t>Pendapatan lainnya (DPPKAD)</t>
  </si>
  <si>
    <t>Pemanfaatan/pendayagunaan kekayaan daerah yang tidak dipisahkan</t>
  </si>
  <si>
    <t>Sewa lambiran</t>
  </si>
  <si>
    <t>Sewa Tanah Bengkok Kelurahan</t>
  </si>
  <si>
    <t>Gedung pmd</t>
  </si>
  <si>
    <t>4140201</t>
  </si>
  <si>
    <t>Jasa Giro Kas Daerah</t>
  </si>
  <si>
    <t>41404</t>
  </si>
  <si>
    <t>Tuntutan Ganti Kerugian Daerah</t>
  </si>
  <si>
    <t>4140401</t>
  </si>
  <si>
    <t>Kerugian Uang</t>
  </si>
  <si>
    <t>41408</t>
  </si>
  <si>
    <t>Pendapatan Denda Retribusi</t>
  </si>
  <si>
    <t>4140801</t>
  </si>
  <si>
    <t>Pendapatan Denda Retribusi Jasa Umum/capil)</t>
  </si>
  <si>
    <t>41415</t>
  </si>
  <si>
    <t>Pendapatan BLUD</t>
  </si>
  <si>
    <t>4141501</t>
  </si>
  <si>
    <t>41414</t>
  </si>
  <si>
    <t>Bantuan Pihak Ketiga</t>
  </si>
  <si>
    <t>4141401</t>
  </si>
  <si>
    <t>Bantuan dari Bank Jateng</t>
  </si>
  <si>
    <t>42</t>
  </si>
  <si>
    <t>Dana Perimbangan</t>
  </si>
  <si>
    <t>421</t>
  </si>
  <si>
    <t>Bagi Hasil Pajak/Bagi Hasil Bukan Pajak</t>
  </si>
  <si>
    <t>42101</t>
  </si>
  <si>
    <t>Bagi Hasil Pajak</t>
  </si>
  <si>
    <t>4210101</t>
  </si>
  <si>
    <t>Bagi Hasil dari Pajak Bumi dan Bangunan</t>
  </si>
  <si>
    <t>BPHTB</t>
  </si>
  <si>
    <t>4210103</t>
  </si>
  <si>
    <t>Bagi Hasil dari Pajak Penghasilan (PPh) Pasal 25 dan Pasal 29 wajib pajak orang Pribadi dalam negeri dan PPh Pasal 21</t>
  </si>
  <si>
    <t>42102</t>
  </si>
  <si>
    <t>Bagi Hasil Bukan Pajak/Sumber Daya Alam</t>
  </si>
  <si>
    <t>4210202</t>
  </si>
  <si>
    <t>Bagi Hasil dari Sumber Daya Alam Kehutanan</t>
  </si>
  <si>
    <t>4210207</t>
  </si>
  <si>
    <t>Bagi Hasil dari Sumber Daya Alam Perikanan</t>
  </si>
  <si>
    <t>4210208</t>
  </si>
  <si>
    <t>Bagi Hasil dari Sumber Daya Alam Pertambangan Umum</t>
  </si>
  <si>
    <t>4210209</t>
  </si>
  <si>
    <t>Bagi Hasil dari Sumber Daya Alam Pertambangan Migas</t>
  </si>
  <si>
    <t>Panas Bumi</t>
  </si>
  <si>
    <t>DBHCHT</t>
  </si>
  <si>
    <t>422</t>
  </si>
  <si>
    <t>42201</t>
  </si>
  <si>
    <t>4220101</t>
  </si>
  <si>
    <t>423</t>
  </si>
  <si>
    <t>42301</t>
  </si>
  <si>
    <t>Dana alokasi khusus</t>
  </si>
  <si>
    <t>4230101</t>
  </si>
  <si>
    <t>Dana alokasi khusus …………….</t>
  </si>
  <si>
    <t>DID</t>
  </si>
  <si>
    <t>43</t>
  </si>
  <si>
    <t>Lain-lain Pendapatan Daerah yang Sah</t>
  </si>
  <si>
    <t>431</t>
  </si>
  <si>
    <t>43101</t>
  </si>
  <si>
    <t>Pendapatan Hibah dari Pemerintah</t>
  </si>
  <si>
    <t>Badan/lembaga/organisasi swasta</t>
  </si>
  <si>
    <t>433</t>
  </si>
  <si>
    <t>Bagi Hasil Pajak dari  Provinsi dan Pemerintah Daerah Lainnya</t>
  </si>
  <si>
    <t>43301</t>
  </si>
  <si>
    <t>Dana Bagi Hasil Pajak dari Provinsi</t>
  </si>
  <si>
    <t>4330101</t>
  </si>
  <si>
    <t>Bagi Hasil dari Pajak Kendaraan Bermotor</t>
  </si>
  <si>
    <t>4330103</t>
  </si>
  <si>
    <t>Bagi Hasil dari Bea Balik Nama Kendaraan Bermotor</t>
  </si>
  <si>
    <t>4330105</t>
  </si>
  <si>
    <t>Bagi Hasil dari Pajak Bahan Bakar Kendaraan Bermotor</t>
  </si>
  <si>
    <t>ABT</t>
  </si>
  <si>
    <t>4330107</t>
  </si>
  <si>
    <t>Bagi Hasil dari Pajak Pengambilan dan Pemanfaatan Air Permukaan</t>
  </si>
  <si>
    <t>4330108</t>
  </si>
  <si>
    <t>Pajak Tera Ulang</t>
  </si>
  <si>
    <t>4330109</t>
  </si>
  <si>
    <t>Bagi Hasil Retribusi Kelebihan Muatan</t>
  </si>
  <si>
    <t>Usaha perkebunan</t>
  </si>
  <si>
    <t>4330110</t>
  </si>
  <si>
    <t>Bagi Hasil Sumbangan Pihak Ketiga (Perhutani)</t>
  </si>
  <si>
    <t>4330111</t>
  </si>
  <si>
    <t>Bagi Hasil Cukai Tembakau</t>
  </si>
  <si>
    <t>4330112</t>
  </si>
  <si>
    <t>Bagi Hasil Retribusi Perijinan Usaha Perkebunan</t>
  </si>
  <si>
    <t>434</t>
  </si>
  <si>
    <t>43401</t>
  </si>
  <si>
    <t>Dana Penyesuaian</t>
  </si>
  <si>
    <t>4340101</t>
  </si>
  <si>
    <t>Dana Penyesuaian ………….</t>
  </si>
  <si>
    <t>435</t>
  </si>
  <si>
    <t>Bantuan keuangan  dari  Provinsi atau pemerintah daerah lainnya</t>
  </si>
  <si>
    <t>43501</t>
  </si>
  <si>
    <t>Bantuan keuangan dari provinsi</t>
  </si>
  <si>
    <t>4350101</t>
  </si>
  <si>
    <t>Bantuan keuangan dari Provinsi …….</t>
  </si>
  <si>
    <t>JUMLAH PENDAPATAN</t>
  </si>
  <si>
    <t>Dana Insentif daerah</t>
  </si>
  <si>
    <t>ada tambahan untuk bpjs</t>
  </si>
  <si>
    <t>APBD TAHUN ANGGARAN 2008-2012 dan PROYEKSI 2013-2018</t>
  </si>
  <si>
    <t>2015</t>
  </si>
  <si>
    <t>2016</t>
  </si>
  <si>
    <t>2017</t>
  </si>
  <si>
    <t>2018</t>
  </si>
  <si>
    <t>BELANJA WAJIB</t>
  </si>
  <si>
    <t>BELANJA PNS</t>
  </si>
  <si>
    <t>BELANJA DPRD</t>
  </si>
  <si>
    <t>BUPATI</t>
  </si>
  <si>
    <t>SERTIFIKASI</t>
  </si>
  <si>
    <t>INSENTIF PAJAK-RETRIBUSI</t>
  </si>
  <si>
    <t>TPP</t>
  </si>
  <si>
    <t>jumlah</t>
  </si>
  <si>
    <t>PENDAMPINGAN DAK</t>
  </si>
  <si>
    <t>BELANJA IN-OUT</t>
  </si>
  <si>
    <t>DAK</t>
  </si>
  <si>
    <t>BAN-GUB</t>
  </si>
  <si>
    <t>TOTAL</t>
  </si>
  <si>
    <t>PENDAPATAN</t>
  </si>
  <si>
    <t>% Belanja PNS</t>
  </si>
  <si>
    <t>REALISASI</t>
  </si>
  <si>
    <t>APBD-P</t>
  </si>
  <si>
    <t>RAPBD</t>
  </si>
  <si>
    <t>PROYEKSI</t>
  </si>
  <si>
    <t>SURPLUS/DEFISIT</t>
  </si>
  <si>
    <t>3</t>
  </si>
  <si>
    <t>PEMBIAYAAN NETO</t>
  </si>
  <si>
    <t>3.1</t>
  </si>
  <si>
    <t>PENERIMAAN PEMBIAYAAN DAERAH</t>
  </si>
  <si>
    <t>3.1.1</t>
  </si>
  <si>
    <t>Sisa Lebih perhitungan Anggaran Daerah Tahun Sebelumnya</t>
  </si>
  <si>
    <t>3.1.2</t>
  </si>
  <si>
    <t>Pencairan Dana Cadangan</t>
  </si>
  <si>
    <t>3.1.3</t>
  </si>
  <si>
    <t>Penerimaan perhitungan pihak ketiga</t>
  </si>
  <si>
    <t>3.1.4</t>
  </si>
  <si>
    <t>Penerimaan Pinjaman dan Obligasi Daerah</t>
  </si>
  <si>
    <t>3.1.6</t>
  </si>
  <si>
    <t>Penerimaan Piutang Daerah</t>
  </si>
  <si>
    <t>3.2</t>
  </si>
  <si>
    <t>PENGELUARAN PEMBIAYAAN DAERAH</t>
  </si>
  <si>
    <t>3.2.1</t>
  </si>
  <si>
    <t>3.2.2</t>
  </si>
  <si>
    <t>Penyertaan Modal (Investasi) Pemerintah Daerah</t>
  </si>
  <si>
    <t>3.2.3</t>
  </si>
  <si>
    <t>Pembayaran Pokok Hutang</t>
  </si>
  <si>
    <t>3.2.4</t>
  </si>
  <si>
    <t>Pemberian Pinjaman Daerah</t>
  </si>
  <si>
    <t>3.2.7</t>
  </si>
  <si>
    <t>Pengeluaran Perhitungan Pihak Ketiga</t>
  </si>
  <si>
    <t>SISA LEBIH PEMBIAYAAN ANGGARAN TAHUN BERKENAAN</t>
  </si>
  <si>
    <t>KETERANGAN</t>
  </si>
  <si>
    <t>1. Tahun 2008-2012 adalah data berdasarkan Realisasi APBD yang telah diaudit BPK</t>
  </si>
  <si>
    <t>2. Data Tahun 2013 adalah data perubahan APBD Tahun 2013</t>
  </si>
  <si>
    <t>3. Data tahun 2014 adalah RAPBD sebelum ditetapkan tapi sudah disesuaikan dengan DAU dan Dak baru</t>
  </si>
  <si>
    <t>4. Data tahun 2015-2015 adalah bersifat proyeksi, dengan beberapa asumsi sebagai berikut:</t>
  </si>
  <si>
    <t>A. Pendapatan</t>
  </si>
  <si>
    <t>1. Untuk PAD dilakukan perhitungan trend dari masing-masing sumber pendapatan</t>
  </si>
  <si>
    <t>2. Untuk dana Perimbangan dilakukan perhitungan asumsi sesuai dengan trend yang diterima setiap tahun</t>
  </si>
  <si>
    <t>3. Untuk Lain-Lain Pendapatan Yang Sah, bersifat in-out dengan pengeluaran kecuali untuk dana bagi hasil provinsi.</t>
  </si>
  <si>
    <t>B. BELANJA</t>
  </si>
  <si>
    <t>1. Belanja diprioritaskan untuk memenuhi kebutuhan wajib, yaitu:</t>
  </si>
  <si>
    <t xml:space="preserve">    a. Belanja pegawai PNS, Bupati, DPRD dan diasumsikan ada kenaikan setara setiap tahun sebesar 7%</t>
  </si>
  <si>
    <t xml:space="preserve">    b. Belanja pegawai yang bersifat in-out dengan pendapatan yaitu tunjangan sertifikasi guru dan tambahan penghasilan guru non sertifikasi</t>
  </si>
  <si>
    <t xml:space="preserve">    c. Belanja bunga pada PIP</t>
  </si>
  <si>
    <t xml:space="preserve">    d. Belanja pembayaran pokok pinjaman pada PIP</t>
  </si>
  <si>
    <t xml:space="preserve">    e. Belanja lainnya yang bersifat in-out</t>
  </si>
  <si>
    <t>2. Setelah memenuhi belanja wajib, maka sisa belanja untuk program dan kegiatan adalah:</t>
  </si>
  <si>
    <t>3. Angka-angka sebagaimana nomer 2 dengan asumsi tidak melakukan pembiayaan dari sumber lain/pinjaman</t>
  </si>
  <si>
    <t>PENERIMAAN PEMBIAYAAN</t>
  </si>
  <si>
    <t>PENGELUARAN PEMBIAYAAN</t>
  </si>
  <si>
    <t>SiLPA</t>
  </si>
  <si>
    <t>Penerimaan Pinjaman</t>
  </si>
  <si>
    <t>Penerimaan pihak ketiga (retensi)</t>
  </si>
  <si>
    <t>Pencairan dana cadangan</t>
  </si>
  <si>
    <t>Pembentukan dana cadangan</t>
  </si>
  <si>
    <t>Penyertaan Modal</t>
  </si>
  <si>
    <t>Pembayaran pihak ketiga (retensi)</t>
  </si>
  <si>
    <t>Penerimaan piutang daerah</t>
  </si>
  <si>
    <t>PENERIMAAN PIUTANG</t>
  </si>
  <si>
    <t>XI</t>
  </si>
  <si>
    <t>2013</t>
  </si>
  <si>
    <t>2014</t>
  </si>
  <si>
    <t>JUMLAH</t>
  </si>
  <si>
    <t>NO</t>
  </si>
  <si>
    <t>Rata-rata Pertumbuhan Realisasi Pendapatan Daerah</t>
  </si>
  <si>
    <t>Tahun 2008-2012</t>
  </si>
  <si>
    <t>Kabupaten Temanggung</t>
  </si>
  <si>
    <t>Proporsi Realisasi Belanja Terhadap Anggaran belanja</t>
  </si>
  <si>
    <t>URAIAN</t>
  </si>
  <si>
    <t>NO.</t>
  </si>
  <si>
    <t>A</t>
  </si>
  <si>
    <t>B</t>
  </si>
  <si>
    <t>Analisis Proporsi Belanja Pemenuhan Kebutuhan Aparatur</t>
  </si>
  <si>
    <t>Tahun Anggaran 2008</t>
  </si>
  <si>
    <t>Tahun Anggaran 2009</t>
  </si>
  <si>
    <t>Tahun Anggaran 2010</t>
  </si>
  <si>
    <t>Tahun Anggaran 2011</t>
  </si>
  <si>
    <t>Tahun Anggaran 2012</t>
  </si>
  <si>
    <t>No.</t>
  </si>
  <si>
    <t>Total Belanja Untuk Pemenuhan</t>
  </si>
  <si>
    <t>Kebutuhan Aparatur (Rp.)</t>
  </si>
  <si>
    <t>Total Pengeluaran</t>
  </si>
  <si>
    <t>(Belanja + Pengeluaran Pembiayaan) Rp.</t>
  </si>
  <si>
    <t>Prosentase</t>
  </si>
  <si>
    <t>Rata-rata</t>
  </si>
  <si>
    <t>Pertumbuhan</t>
  </si>
  <si>
    <t>Pengeluaran Wajib dan Mengikat Serta Prioritas Utama</t>
  </si>
  <si>
    <t>C</t>
  </si>
  <si>
    <t>Tahun 2013-2018</t>
  </si>
  <si>
    <t>Proyeksi Belanja dan Pengeluaran Pembiayaan yang Wajib dan Mengikat serta Prioritas Utama</t>
  </si>
  <si>
    <t>Data Tahun Dasar</t>
  </si>
  <si>
    <t>Tingkat Pertumbuhan</t>
  </si>
  <si>
    <t>(Rp.)</t>
  </si>
  <si>
    <t>( % )</t>
  </si>
  <si>
    <t xml:space="preserve">TOTAL BELANJA WAJIB DAN PENGELUARAN YANG </t>
  </si>
  <si>
    <t>WAJIB MENGINKAT SERTA PRIORITAS UTAMA</t>
  </si>
  <si>
    <t>Penutupan Defist Riil Anggaran</t>
  </si>
  <si>
    <t>Tahun 2008-2013</t>
  </si>
  <si>
    <t>Dikurangi Realisasi:</t>
  </si>
  <si>
    <t>Belanja Daerah</t>
  </si>
  <si>
    <t>Pengeluaran Pembiayaan Daerah</t>
  </si>
  <si>
    <t>Defisit Riil</t>
  </si>
  <si>
    <t>Total Realisasi Penerimaan Pembiayaan</t>
  </si>
  <si>
    <t>Ditutup oleh Realisasi Penerimaan Pembiayaan</t>
  </si>
  <si>
    <t>A-B</t>
  </si>
  <si>
    <t>Sisa Lebih Pembiayaan Anggaran Tahun Berkenaan</t>
  </si>
  <si>
    <t>Proporsi dari Total Defisit Riil</t>
  </si>
  <si>
    <t>Komposisi Penutup Defist Riil Anggaran</t>
  </si>
  <si>
    <t>Realisasi Sisa lebih Perhitungan Anggaran</t>
  </si>
  <si>
    <t>Rp.</t>
  </si>
  <si>
    <t>%</t>
  </si>
  <si>
    <t>Jumlah SiLPA</t>
  </si>
  <si>
    <t>Pelampauan penerimaan PAD</t>
  </si>
  <si>
    <t>Pelampauan penerimaan Dana Perimbangan</t>
  </si>
  <si>
    <t>Pelampauan penerimaan lain-lain Pendapatan daerah yang Sah</t>
  </si>
  <si>
    <t>Sisa penghematan belanja</t>
  </si>
  <si>
    <t>Kewajiban kepada pihak ketiga belum dibayarkan</t>
  </si>
  <si>
    <t>Kegiatan lanjutan</t>
  </si>
  <si>
    <t>Saldo Kas Neraca Daerah</t>
  </si>
  <si>
    <t>Dikurangi</t>
  </si>
  <si>
    <t>Sisa Lebih Rill Pembiayaan Anggaran</t>
  </si>
  <si>
    <t>Sisa lebih (riil) Pembiayaan Anggaran Tahun Berkenaan</t>
  </si>
  <si>
    <t>Proyeksi Sisa lebih (riil) Pembiayaan Anggaran Tahun Berkenaan</t>
  </si>
  <si>
    <t>Untuk mendanai Pembangunan Daerah</t>
  </si>
  <si>
    <t>Kapasitas Riil Kemampuan Keuangan Daerah</t>
  </si>
  <si>
    <t>Untuk Mendanai Pembangunan Daerah</t>
  </si>
  <si>
    <t>Proyeksi</t>
  </si>
  <si>
    <t>Pendapatan</t>
  </si>
  <si>
    <t>Sisa Lebih Riil Perhitungan Anggaran</t>
  </si>
  <si>
    <t>Total penerimaan</t>
  </si>
  <si>
    <t>Belanja dan Pengeluaran Pembiayaan yang wajib, Mengikat serta Prioritas Utama</t>
  </si>
  <si>
    <t>Kapasitas Riil Kemampuan Keuangan</t>
  </si>
  <si>
    <t>Pembayaran retensi</t>
  </si>
  <si>
    <t>Penerimaan retensi</t>
  </si>
  <si>
    <t>Penerimaan pinjaman</t>
  </si>
  <si>
    <t>Rencana Penggunaan Kapasitas Riil Kemampuan Keuangan Daerah</t>
  </si>
  <si>
    <t>II.a</t>
  </si>
  <si>
    <t>Belanja Langsung</t>
  </si>
  <si>
    <t>II.b</t>
  </si>
  <si>
    <t>Belanja langsung Yang Wajib dan mengingkat serta prioritas utama</t>
  </si>
  <si>
    <t>II.c</t>
  </si>
  <si>
    <t>II.d</t>
  </si>
  <si>
    <t>Pengeluaran Pembiayaan yang wajib mengikat serta prioritas utama</t>
  </si>
  <si>
    <t>Sisa kapasitas riil kemampuan keuangan daerah setelah menghitung alokasi pengeluaran prioritas I (I-II)</t>
  </si>
  <si>
    <t>IIIa</t>
  </si>
  <si>
    <t>Belanja Tidak langsung yang wajib dan mengikat serta prioritas utama</t>
  </si>
  <si>
    <t>III.b</t>
  </si>
  <si>
    <t>Belanja Tidak langsung</t>
  </si>
  <si>
    <t>Surplus (I-II-III)</t>
  </si>
  <si>
    <t>Penyertaan modal</t>
  </si>
  <si>
    <t>Belanja Bagi Hasil</t>
  </si>
  <si>
    <t>hibah, bansos, bankeu, ttd</t>
  </si>
  <si>
    <t>Wajib mengingat</t>
  </si>
  <si>
    <t>wajib mengikat</t>
  </si>
  <si>
    <t>Tidak</t>
  </si>
  <si>
    <t>Jumlah uang</t>
  </si>
  <si>
    <t>wajib</t>
  </si>
  <si>
    <t>langsung</t>
  </si>
  <si>
    <t>tidak langsung</t>
  </si>
  <si>
    <t>pengeluaran</t>
  </si>
  <si>
    <t>Total rencana pengeluaran Prioritas I dan II (II.a+II.b -II.c-II.d)</t>
  </si>
  <si>
    <t>Rencana Alokasi Pengeluaran prioritas III</t>
  </si>
  <si>
    <t>Total penggunaan prioritas III (III.a-III.b)</t>
  </si>
  <si>
    <t>Rencana alokasi penggunaan prioritas I dan II</t>
  </si>
  <si>
    <t>Alokasi</t>
  </si>
  <si>
    <t>Tahun I</t>
  </si>
  <si>
    <t>Tahun II</t>
  </si>
  <si>
    <t>Tahun III</t>
  </si>
  <si>
    <t>Tahun IV</t>
  </si>
  <si>
    <t>Tahun V</t>
  </si>
  <si>
    <t>Prioritas III</t>
  </si>
  <si>
    <t>Prioritas I dan II</t>
  </si>
  <si>
    <t>Total</t>
  </si>
  <si>
    <t>Rp</t>
  </si>
  <si>
    <t>Kerangka Pendanaan</t>
  </si>
  <si>
    <t>Alokasi Kapasitas Riil Keuangan daerah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</si>
</sst>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85"/>
      <color indexed="8"/>
      <name val="Times New Roman"/>
      <family val="1"/>
    </font>
    <font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name val="Cambria"/>
      <family val="1"/>
    </font>
    <font>
      <sz val="11"/>
      <color theme="1"/>
      <name val="Calibri"/>
      <family val="2"/>
      <charset val="1"/>
      <scheme val="minor"/>
    </font>
    <font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2"/>
      <color theme="0"/>
      <name val="Cambria"/>
      <family val="1"/>
    </font>
    <font>
      <sz val="10"/>
      <name val="Arial"/>
      <family val="2"/>
    </font>
    <font>
      <b/>
      <sz val="12"/>
      <name val="Book Antiqua"/>
      <family val="1"/>
    </font>
    <font>
      <sz val="10"/>
      <color rgb="FF0000FF"/>
      <name val="Arial"/>
      <family val="2"/>
    </font>
    <font>
      <sz val="10"/>
      <name val="Book Antiqua"/>
      <family val="1"/>
    </font>
    <font>
      <sz val="10"/>
      <color rgb="FF0000FF"/>
      <name val="Book Antiqua"/>
      <family val="1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rgb="FFC0000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0"/>
      <name val="Cambria"/>
      <family val="1"/>
    </font>
    <font>
      <sz val="12"/>
      <color rgb="FFFF0000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charset val="1"/>
      <scheme val="minor"/>
    </font>
    <font>
      <sz val="8"/>
      <color theme="0"/>
      <name val="Cambria"/>
      <family val="1"/>
    </font>
    <font>
      <sz val="8"/>
      <color rgb="FFFF0000"/>
      <name val="Cambria"/>
      <family val="1"/>
    </font>
    <font>
      <b/>
      <sz val="8"/>
      <color rgb="FFFF0000"/>
      <name val="Cambria"/>
      <family val="1"/>
    </font>
    <font>
      <sz val="8"/>
      <color rgb="FFFF0000"/>
      <name val="Calibri"/>
      <family val="2"/>
      <charset val="1"/>
      <scheme val="min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65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49" fontId="0" fillId="0" borderId="0" xfId="1" applyNumberFormat="1" applyFont="1"/>
    <xf numFmtId="49" fontId="0" fillId="0" borderId="0" xfId="1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/>
    <xf numFmtId="0" fontId="5" fillId="0" borderId="0" xfId="3" applyFont="1" applyFill="1" applyAlignment="1">
      <alignment horizontal="center" vertical="center"/>
    </xf>
    <xf numFmtId="0" fontId="6" fillId="0" borderId="0" xfId="4" applyFill="1"/>
    <xf numFmtId="49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left" vertical="center" wrapText="1"/>
    </xf>
    <xf numFmtId="165" fontId="7" fillId="0" borderId="0" xfId="5" applyNumberFormat="1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49" fontId="8" fillId="0" borderId="3" xfId="3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horizontal="left" vertical="center" wrapText="1"/>
    </xf>
    <xf numFmtId="165" fontId="8" fillId="0" borderId="3" xfId="5" applyNumberFormat="1" applyFont="1" applyFill="1" applyBorder="1" applyAlignment="1">
      <alignment horizontal="center" vertical="center"/>
    </xf>
    <xf numFmtId="165" fontId="8" fillId="0" borderId="4" xfId="5" applyNumberFormat="1" applyFont="1" applyFill="1" applyBorder="1" applyAlignment="1">
      <alignment horizontal="center" vertical="center"/>
    </xf>
    <xf numFmtId="49" fontId="9" fillId="0" borderId="5" xfId="3" applyNumberFormat="1" applyFont="1" applyFill="1" applyBorder="1" applyAlignment="1">
      <alignment vertical="center"/>
    </xf>
    <xf numFmtId="0" fontId="9" fillId="0" borderId="5" xfId="3" applyFont="1" applyFill="1" applyBorder="1" applyAlignment="1">
      <alignment horizontal="left" vertical="center" wrapText="1"/>
    </xf>
    <xf numFmtId="165" fontId="9" fillId="0" borderId="5" xfId="5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 wrapText="1"/>
    </xf>
    <xf numFmtId="165" fontId="9" fillId="0" borderId="1" xfId="5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vertical="center"/>
    </xf>
    <xf numFmtId="0" fontId="9" fillId="0" borderId="6" xfId="3" applyFont="1" applyFill="1" applyBorder="1" applyAlignment="1">
      <alignment horizontal="left" vertical="center" wrapText="1"/>
    </xf>
    <xf numFmtId="165" fontId="9" fillId="0" borderId="6" xfId="5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2" fontId="8" fillId="0" borderId="3" xfId="3" applyNumberFormat="1" applyFont="1" applyFill="1" applyBorder="1" applyAlignment="1">
      <alignment horizontal="center" vertical="center"/>
    </xf>
    <xf numFmtId="2" fontId="9" fillId="0" borderId="5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49" fontId="7" fillId="0" borderId="7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left" vertical="center" wrapText="1"/>
    </xf>
    <xf numFmtId="165" fontId="10" fillId="0" borderId="0" xfId="6" applyNumberFormat="1" applyFont="1" applyFill="1" applyAlignment="1">
      <alignment horizontal="center" vertical="center"/>
    </xf>
    <xf numFmtId="165" fontId="7" fillId="0" borderId="0" xfId="6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165" fontId="10" fillId="0" borderId="0" xfId="5" applyNumberFormat="1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4"/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 wrapText="1"/>
    </xf>
    <xf numFmtId="165" fontId="7" fillId="0" borderId="0" xfId="5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5" fontId="5" fillId="0" borderId="3" xfId="5" applyNumberFormat="1" applyFont="1" applyFill="1" applyBorder="1" applyAlignment="1">
      <alignment horizontal="center" vertical="center"/>
    </xf>
    <xf numFmtId="49" fontId="7" fillId="0" borderId="5" xfId="3" applyNumberFormat="1" applyFont="1" applyFill="1" applyBorder="1" applyAlignment="1">
      <alignment vertical="center"/>
    </xf>
    <xf numFmtId="0" fontId="7" fillId="0" borderId="5" xfId="3" applyFont="1" applyFill="1" applyBorder="1" applyAlignment="1">
      <alignment horizontal="left" vertical="center" wrapText="1"/>
    </xf>
    <xf numFmtId="165" fontId="7" fillId="0" borderId="5" xfId="5" applyNumberFormat="1" applyFont="1" applyFill="1" applyBorder="1" applyAlignment="1">
      <alignment horizontal="center" vertical="center"/>
    </xf>
    <xf numFmtId="165" fontId="7" fillId="0" borderId="8" xfId="5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 wrapText="1"/>
    </xf>
    <xf numFmtId="165" fontId="7" fillId="0" borderId="1" xfId="5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49" fontId="7" fillId="0" borderId="6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horizontal="left" vertical="center" wrapText="1"/>
    </xf>
    <xf numFmtId="165" fontId="7" fillId="0" borderId="6" xfId="5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165" fontId="7" fillId="0" borderId="0" xfId="6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65" fontId="10" fillId="0" borderId="0" xfId="5" applyNumberFormat="1" applyFont="1" applyAlignment="1">
      <alignment horizontal="center" vertical="center"/>
    </xf>
    <xf numFmtId="165" fontId="10" fillId="0" borderId="0" xfId="6" applyNumberFormat="1" applyFont="1" applyAlignment="1">
      <alignment horizontal="center" vertical="center"/>
    </xf>
    <xf numFmtId="0" fontId="11" fillId="0" borderId="0" xfId="9" applyFont="1"/>
    <xf numFmtId="0" fontId="11" fillId="0" borderId="0" xfId="9" applyFont="1" applyFill="1"/>
    <xf numFmtId="0" fontId="13" fillId="0" borderId="0" xfId="9" applyFont="1" applyFill="1"/>
    <xf numFmtId="0" fontId="11" fillId="14" borderId="0" xfId="9" applyFont="1" applyFill="1"/>
    <xf numFmtId="0" fontId="14" fillId="0" borderId="0" xfId="9" applyFont="1" applyAlignment="1"/>
    <xf numFmtId="0" fontId="14" fillId="0" borderId="0" xfId="9" applyFont="1" applyFill="1" applyAlignment="1"/>
    <xf numFmtId="0" fontId="15" fillId="0" borderId="0" xfId="9" applyFont="1" applyFill="1" applyAlignment="1"/>
    <xf numFmtId="0" fontId="14" fillId="14" borderId="0" xfId="9" applyFont="1" applyFill="1" applyAlignment="1"/>
    <xf numFmtId="0" fontId="16" fillId="0" borderId="10" xfId="9" applyFont="1" applyBorder="1" applyAlignment="1">
      <alignment horizontal="center" vertical="center"/>
    </xf>
    <xf numFmtId="0" fontId="16" fillId="0" borderId="10" xfId="9" applyFont="1" applyFill="1" applyBorder="1" applyAlignment="1">
      <alignment horizontal="center" vertical="center"/>
    </xf>
    <xf numFmtId="0" fontId="17" fillId="0" borderId="10" xfId="9" applyFont="1" applyFill="1" applyBorder="1" applyAlignment="1">
      <alignment horizontal="center" vertical="center"/>
    </xf>
    <xf numFmtId="0" fontId="16" fillId="14" borderId="10" xfId="9" applyFont="1" applyFill="1" applyBorder="1" applyAlignment="1">
      <alignment horizontal="center" vertical="center"/>
    </xf>
    <xf numFmtId="0" fontId="16" fillId="0" borderId="12" xfId="9" applyFont="1" applyBorder="1" applyAlignment="1">
      <alignment horizontal="center" vertical="center"/>
    </xf>
    <xf numFmtId="0" fontId="16" fillId="0" borderId="12" xfId="9" applyFont="1" applyFill="1" applyBorder="1" applyAlignment="1">
      <alignment horizontal="center" vertical="center"/>
    </xf>
    <xf numFmtId="0" fontId="17" fillId="0" borderId="12" xfId="9" applyFont="1" applyFill="1" applyBorder="1" applyAlignment="1">
      <alignment horizontal="center" vertical="center"/>
    </xf>
    <xf numFmtId="0" fontId="16" fillId="14" borderId="12" xfId="9" applyFont="1" applyFill="1" applyBorder="1" applyAlignment="1">
      <alignment horizontal="center" vertical="center"/>
    </xf>
    <xf numFmtId="0" fontId="16" fillId="0" borderId="14" xfId="9" applyFont="1" applyBorder="1" applyAlignment="1">
      <alignment horizontal="center" vertical="center"/>
    </xf>
    <xf numFmtId="0" fontId="16" fillId="0" borderId="14" xfId="9" applyFont="1" applyFill="1" applyBorder="1" applyAlignment="1">
      <alignment horizontal="center" vertical="center"/>
    </xf>
    <xf numFmtId="0" fontId="17" fillId="0" borderId="14" xfId="9" applyFont="1" applyFill="1" applyBorder="1" applyAlignment="1">
      <alignment horizontal="center" vertical="center"/>
    </xf>
    <xf numFmtId="0" fontId="16" fillId="14" borderId="14" xfId="9" applyFont="1" applyFill="1" applyBorder="1" applyAlignment="1">
      <alignment horizontal="center" vertical="center"/>
    </xf>
    <xf numFmtId="0" fontId="18" fillId="15" borderId="14" xfId="9" quotePrefix="1" applyNumberFormat="1" applyFont="1" applyFill="1" applyBorder="1" applyAlignment="1">
      <alignment horizontal="center" vertical="center" wrapText="1"/>
    </xf>
    <xf numFmtId="0" fontId="18" fillId="0" borderId="14" xfId="9" quotePrefix="1" applyNumberFormat="1" applyFont="1" applyFill="1" applyBorder="1" applyAlignment="1">
      <alignment horizontal="center" vertical="center" wrapText="1"/>
    </xf>
    <xf numFmtId="0" fontId="19" fillId="0" borderId="14" xfId="9" quotePrefix="1" applyNumberFormat="1" applyFont="1" applyFill="1" applyBorder="1" applyAlignment="1">
      <alignment horizontal="center" vertical="center" wrapText="1"/>
    </xf>
    <xf numFmtId="0" fontId="18" fillId="14" borderId="14" xfId="9" quotePrefix="1" applyNumberFormat="1" applyFont="1" applyFill="1" applyBorder="1" applyAlignment="1">
      <alignment horizontal="center" vertical="center" wrapText="1"/>
    </xf>
    <xf numFmtId="0" fontId="18" fillId="0" borderId="12" xfId="9" applyFont="1" applyBorder="1"/>
    <xf numFmtId="0" fontId="18" fillId="0" borderId="12" xfId="9" applyFont="1" applyFill="1" applyBorder="1"/>
    <xf numFmtId="0" fontId="19" fillId="0" borderId="12" xfId="9" applyFont="1" applyFill="1" applyBorder="1"/>
    <xf numFmtId="0" fontId="18" fillId="14" borderId="12" xfId="9" applyFont="1" applyFill="1" applyBorder="1"/>
    <xf numFmtId="3" fontId="18" fillId="0" borderId="12" xfId="9" applyNumberFormat="1" applyFont="1" applyFill="1" applyBorder="1"/>
    <xf numFmtId="0" fontId="16" fillId="0" borderId="15" xfId="9" quotePrefix="1" applyNumberFormat="1" applyFont="1" applyFill="1" applyBorder="1" applyAlignment="1">
      <alignment vertical="top"/>
    </xf>
    <xf numFmtId="0" fontId="16" fillId="0" borderId="1" xfId="9" quotePrefix="1" applyNumberFormat="1" applyFont="1" applyFill="1" applyBorder="1" applyAlignment="1">
      <alignment wrapText="1"/>
    </xf>
    <xf numFmtId="37" fontId="16" fillId="0" borderId="1" xfId="9" applyNumberFormat="1" applyFont="1" applyFill="1" applyBorder="1" applyAlignment="1">
      <alignment vertical="center"/>
    </xf>
    <xf numFmtId="37" fontId="16" fillId="14" borderId="1" xfId="9" applyNumberFormat="1" applyFont="1" applyFill="1" applyBorder="1" applyAlignment="1">
      <alignment vertical="center"/>
    </xf>
    <xf numFmtId="37" fontId="11" fillId="0" borderId="0" xfId="9" applyNumberFormat="1" applyFont="1"/>
    <xf numFmtId="43" fontId="11" fillId="0" borderId="0" xfId="1" applyFont="1"/>
    <xf numFmtId="3" fontId="20" fillId="0" borderId="16" xfId="0" applyNumberFormat="1" applyFont="1" applyFill="1" applyBorder="1" applyAlignment="1">
      <alignment horizontal="center"/>
    </xf>
    <xf numFmtId="3" fontId="21" fillId="0" borderId="16" xfId="0" applyNumberFormat="1" applyFont="1" applyFill="1" applyBorder="1" applyAlignment="1">
      <alignment horizontal="right"/>
    </xf>
    <xf numFmtId="3" fontId="22" fillId="0" borderId="16" xfId="0" applyNumberFormat="1" applyFont="1" applyFill="1" applyBorder="1" applyAlignment="1">
      <alignment horizontal="right"/>
    </xf>
    <xf numFmtId="0" fontId="23" fillId="0" borderId="15" xfId="9" quotePrefix="1" applyNumberFormat="1" applyFont="1" applyFill="1" applyBorder="1" applyAlignment="1">
      <alignment vertical="top"/>
    </xf>
    <xf numFmtId="0" fontId="23" fillId="0" borderId="1" xfId="9" quotePrefix="1" applyNumberFormat="1" applyFont="1" applyFill="1" applyBorder="1" applyAlignment="1">
      <alignment wrapText="1"/>
    </xf>
    <xf numFmtId="37" fontId="23" fillId="0" borderId="1" xfId="9" applyNumberFormat="1" applyFont="1" applyFill="1" applyBorder="1" applyAlignment="1">
      <alignment vertical="center"/>
    </xf>
    <xf numFmtId="10" fontId="23" fillId="0" borderId="1" xfId="2" applyNumberFormat="1" applyFont="1" applyFill="1" applyBorder="1" applyAlignment="1">
      <alignment vertical="center"/>
    </xf>
    <xf numFmtId="10" fontId="23" fillId="14" borderId="1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0" fontId="24" fillId="0" borderId="0" xfId="9" applyFont="1"/>
    <xf numFmtId="37" fontId="17" fillId="0" borderId="1" xfId="9" applyNumberFormat="1" applyFont="1" applyFill="1" applyBorder="1" applyAlignment="1">
      <alignment vertical="center"/>
    </xf>
    <xf numFmtId="10" fontId="16" fillId="14" borderId="1" xfId="2" applyNumberFormat="1" applyFont="1" applyFill="1" applyBorder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25" fillId="0" borderId="1" xfId="1" applyNumberFormat="1" applyFont="1" applyFill="1" applyBorder="1" applyAlignment="1">
      <alignment vertical="center"/>
    </xf>
    <xf numFmtId="0" fontId="18" fillId="0" borderId="1" xfId="9" quotePrefix="1" applyNumberFormat="1" applyFont="1" applyFill="1" applyBorder="1" applyAlignment="1">
      <alignment wrapText="1"/>
    </xf>
    <xf numFmtId="41" fontId="16" fillId="0" borderId="1" xfId="7" quotePrefix="1" applyFont="1" applyFill="1" applyBorder="1" applyAlignment="1">
      <alignment wrapText="1"/>
    </xf>
    <xf numFmtId="37" fontId="18" fillId="0" borderId="1" xfId="9" quotePrefix="1" applyNumberFormat="1" applyFont="1" applyFill="1" applyBorder="1" applyAlignment="1">
      <alignment vertical="center"/>
    </xf>
    <xf numFmtId="37" fontId="19" fillId="0" borderId="1" xfId="9" quotePrefix="1" applyNumberFormat="1" applyFont="1" applyFill="1" applyBorder="1" applyAlignment="1">
      <alignment vertical="center"/>
    </xf>
    <xf numFmtId="37" fontId="18" fillId="14" borderId="1" xfId="9" quotePrefix="1" applyNumberFormat="1" applyFont="1" applyFill="1" applyBorder="1" applyAlignment="1">
      <alignment vertical="center"/>
    </xf>
    <xf numFmtId="0" fontId="18" fillId="0" borderId="1" xfId="9" applyNumberFormat="1" applyFont="1" applyFill="1" applyBorder="1" applyAlignment="1">
      <alignment wrapText="1"/>
    </xf>
    <xf numFmtId="0" fontId="26" fillId="0" borderId="1" xfId="9" quotePrefix="1" applyNumberFormat="1" applyFont="1" applyFill="1" applyBorder="1" applyAlignment="1">
      <alignment vertical="top" wrapText="1"/>
    </xf>
    <xf numFmtId="41" fontId="16" fillId="0" borderId="1" xfId="7" quotePrefix="1" applyFont="1" applyFill="1" applyBorder="1" applyAlignment="1">
      <alignment vertical="center"/>
    </xf>
    <xf numFmtId="37" fontId="18" fillId="0" borderId="1" xfId="9" quotePrefix="1" applyNumberFormat="1" applyFont="1" applyFill="1" applyBorder="1" applyAlignment="1">
      <alignment vertical="top"/>
    </xf>
    <xf numFmtId="37" fontId="19" fillId="0" borderId="1" xfId="9" quotePrefix="1" applyNumberFormat="1" applyFont="1" applyFill="1" applyBorder="1" applyAlignment="1">
      <alignment vertical="top"/>
    </xf>
    <xf numFmtId="41" fontId="16" fillId="0" borderId="1" xfId="7" applyFont="1" applyFill="1" applyBorder="1" applyAlignment="1">
      <alignment wrapText="1"/>
    </xf>
    <xf numFmtId="41" fontId="18" fillId="0" borderId="1" xfId="7" quotePrefix="1" applyFont="1" applyFill="1" applyBorder="1" applyAlignment="1">
      <alignment vertical="center"/>
    </xf>
    <xf numFmtId="41" fontId="19" fillId="0" borderId="1" xfId="7" quotePrefix="1" applyFont="1" applyFill="1" applyBorder="1" applyAlignment="1">
      <alignment vertical="center"/>
    </xf>
    <xf numFmtId="41" fontId="18" fillId="14" borderId="1" xfId="7" quotePrefix="1" applyFont="1" applyFill="1" applyBorder="1" applyAlignment="1">
      <alignment vertical="center"/>
    </xf>
    <xf numFmtId="0" fontId="18" fillId="0" borderId="15" xfId="9" quotePrefix="1" applyNumberFormat="1" applyFont="1" applyFill="1" applyBorder="1" applyAlignment="1">
      <alignment vertical="top"/>
    </xf>
    <xf numFmtId="41" fontId="18" fillId="0" borderId="1" xfId="7" quotePrefix="1" applyFont="1" applyFill="1" applyBorder="1" applyAlignment="1">
      <alignment wrapText="1"/>
    </xf>
    <xf numFmtId="37" fontId="16" fillId="0" borderId="1" xfId="9" quotePrefix="1" applyNumberFormat="1" applyFont="1" applyFill="1" applyBorder="1" applyAlignment="1">
      <alignment vertical="center"/>
    </xf>
    <xf numFmtId="37" fontId="16" fillId="14" borderId="1" xfId="9" quotePrefix="1" applyNumberFormat="1" applyFont="1" applyFill="1" applyBorder="1" applyAlignment="1">
      <alignment vertical="center"/>
    </xf>
    <xf numFmtId="41" fontId="18" fillId="0" borderId="1" xfId="7" applyFont="1" applyFill="1" applyBorder="1" applyAlignment="1">
      <alignment wrapText="1"/>
    </xf>
    <xf numFmtId="37" fontId="18" fillId="16" borderId="1" xfId="8" applyNumberFormat="1" applyFont="1" applyFill="1" applyBorder="1" applyAlignment="1">
      <alignment vertical="center"/>
    </xf>
    <xf numFmtId="37" fontId="18" fillId="0" borderId="1" xfId="8" applyNumberFormat="1" applyFont="1" applyFill="1" applyBorder="1" applyAlignment="1">
      <alignment vertical="center"/>
    </xf>
    <xf numFmtId="37" fontId="19" fillId="0" borderId="1" xfId="8" applyNumberFormat="1" applyFont="1" applyFill="1" applyBorder="1" applyAlignment="1">
      <alignment vertical="center"/>
    </xf>
    <xf numFmtId="37" fontId="18" fillId="14" borderId="1" xfId="8" applyNumberFormat="1" applyFont="1" applyFill="1" applyBorder="1" applyAlignment="1">
      <alignment vertical="center"/>
    </xf>
    <xf numFmtId="0" fontId="27" fillId="0" borderId="1" xfId="9" applyNumberFormat="1" applyFont="1" applyFill="1" applyBorder="1" applyAlignment="1">
      <alignment wrapText="1"/>
    </xf>
    <xf numFmtId="41" fontId="27" fillId="0" borderId="1" xfId="7" applyFont="1" applyFill="1" applyBorder="1" applyAlignment="1">
      <alignment wrapText="1"/>
    </xf>
    <xf numFmtId="41" fontId="18" fillId="16" borderId="1" xfId="7" quotePrefix="1" applyFont="1" applyFill="1" applyBorder="1" applyAlignment="1">
      <alignment vertical="center"/>
    </xf>
    <xf numFmtId="0" fontId="18" fillId="0" borderId="15" xfId="9" quotePrefix="1" applyNumberFormat="1" applyFont="1" applyFill="1" applyBorder="1" applyAlignment="1">
      <alignment vertical="center"/>
    </xf>
    <xf numFmtId="37" fontId="18" fillId="16" borderId="1" xfId="9" quotePrefix="1" applyNumberFormat="1" applyFont="1" applyFill="1" applyBorder="1" applyAlignment="1">
      <alignment vertical="center"/>
    </xf>
    <xf numFmtId="41" fontId="18" fillId="0" borderId="1" xfId="7" applyFont="1" applyFill="1" applyBorder="1" applyAlignment="1">
      <alignment vertical="center"/>
    </xf>
    <xf numFmtId="0" fontId="16" fillId="0" borderId="15" xfId="9" quotePrefix="1" applyNumberFormat="1" applyFont="1" applyFill="1" applyBorder="1" applyAlignment="1">
      <alignment vertical="center"/>
    </xf>
    <xf numFmtId="0" fontId="16" fillId="0" borderId="1" xfId="9" quotePrefix="1" applyNumberFormat="1" applyFont="1" applyFill="1" applyBorder="1" applyAlignment="1">
      <alignment horizontal="left" vertical="center" wrapText="1"/>
    </xf>
    <xf numFmtId="41" fontId="16" fillId="0" borderId="1" xfId="7" quotePrefix="1" applyFont="1" applyFill="1" applyBorder="1" applyAlignment="1">
      <alignment horizontal="left" vertical="center" wrapText="1"/>
    </xf>
    <xf numFmtId="37" fontId="17" fillId="0" borderId="1" xfId="9" quotePrefix="1" applyNumberFormat="1" applyFont="1" applyFill="1" applyBorder="1" applyAlignment="1">
      <alignment vertical="center"/>
    </xf>
    <xf numFmtId="0" fontId="16" fillId="0" borderId="1" xfId="9" quotePrefix="1" applyNumberFormat="1" applyFont="1" applyFill="1" applyBorder="1" applyAlignment="1">
      <alignment horizontal="left" vertical="top" wrapText="1"/>
    </xf>
    <xf numFmtId="41" fontId="16" fillId="0" borderId="1" xfId="7" quotePrefix="1" applyFont="1" applyFill="1" applyBorder="1" applyAlignment="1">
      <alignment horizontal="left" vertical="top" wrapText="1"/>
    </xf>
    <xf numFmtId="0" fontId="18" fillId="0" borderId="1" xfId="9" applyNumberFormat="1" applyFont="1" applyFill="1" applyBorder="1" applyAlignment="1">
      <alignment horizontal="left" wrapText="1"/>
    </xf>
    <xf numFmtId="41" fontId="18" fillId="0" borderId="1" xfId="7" applyFont="1" applyFill="1" applyBorder="1" applyAlignment="1">
      <alignment horizontal="left" wrapText="1"/>
    </xf>
    <xf numFmtId="0" fontId="16" fillId="0" borderId="1" xfId="9" applyNumberFormat="1" applyFont="1" applyFill="1" applyBorder="1" applyAlignment="1">
      <alignment horizontal="left" vertical="top" wrapText="1"/>
    </xf>
    <xf numFmtId="37" fontId="16" fillId="17" borderId="1" xfId="9" quotePrefix="1" applyNumberFormat="1" applyFont="1" applyFill="1" applyBorder="1" applyAlignment="1">
      <alignment vertical="top"/>
    </xf>
    <xf numFmtId="37" fontId="16" fillId="0" borderId="1" xfId="9" quotePrefix="1" applyNumberFormat="1" applyFont="1" applyFill="1" applyBorder="1" applyAlignment="1">
      <alignment vertical="top"/>
    </xf>
    <xf numFmtId="37" fontId="17" fillId="0" borderId="1" xfId="9" quotePrefix="1" applyNumberFormat="1" applyFont="1" applyFill="1" applyBorder="1" applyAlignment="1">
      <alignment vertical="top"/>
    </xf>
    <xf numFmtId="37" fontId="16" fillId="14" borderId="1" xfId="9" quotePrefix="1" applyNumberFormat="1" applyFont="1" applyFill="1" applyBorder="1" applyAlignment="1">
      <alignment vertical="top"/>
    </xf>
    <xf numFmtId="0" fontId="11" fillId="0" borderId="0" xfId="9" applyFont="1" applyAlignment="1">
      <alignment vertical="top"/>
    </xf>
    <xf numFmtId="0" fontId="16" fillId="0" borderId="1" xfId="9" applyNumberFormat="1" applyFont="1" applyFill="1" applyBorder="1" applyAlignment="1">
      <alignment horizontal="left" vertical="center" wrapText="1"/>
    </xf>
    <xf numFmtId="37" fontId="16" fillId="17" borderId="1" xfId="9" quotePrefix="1" applyNumberFormat="1" applyFont="1" applyFill="1" applyBorder="1" applyAlignment="1">
      <alignment vertical="center"/>
    </xf>
    <xf numFmtId="0" fontId="16" fillId="0" borderId="1" xfId="9" quotePrefix="1" applyNumberFormat="1" applyFont="1" applyFill="1" applyBorder="1" applyAlignment="1">
      <alignment vertical="center" wrapText="1"/>
    </xf>
    <xf numFmtId="0" fontId="18" fillId="4" borderId="15" xfId="9" quotePrefix="1" applyNumberFormat="1" applyFont="1" applyFill="1" applyBorder="1" applyAlignment="1">
      <alignment vertical="top"/>
    </xf>
    <xf numFmtId="0" fontId="18" fillId="4" borderId="1" xfId="9" quotePrefix="1" applyNumberFormat="1" applyFont="1" applyFill="1" applyBorder="1" applyAlignment="1">
      <alignment horizontal="left" vertical="center" wrapText="1"/>
    </xf>
    <xf numFmtId="41" fontId="18" fillId="4" borderId="1" xfId="7" quotePrefix="1" applyFont="1" applyFill="1" applyBorder="1" applyAlignment="1">
      <alignment horizontal="left" vertical="center" wrapText="1"/>
    </xf>
    <xf numFmtId="37" fontId="18" fillId="4" borderId="1" xfId="9" quotePrefix="1" applyNumberFormat="1" applyFont="1" applyFill="1" applyBorder="1" applyAlignment="1">
      <alignment vertical="center"/>
    </xf>
    <xf numFmtId="37" fontId="19" fillId="4" borderId="1" xfId="9" quotePrefix="1" applyNumberFormat="1" applyFont="1" applyFill="1" applyBorder="1" applyAlignment="1">
      <alignment vertical="center"/>
    </xf>
    <xf numFmtId="0" fontId="11" fillId="4" borderId="0" xfId="9" applyFont="1" applyFill="1"/>
    <xf numFmtId="0" fontId="26" fillId="0" borderId="1" xfId="9" quotePrefix="1" applyNumberFormat="1" applyFont="1" applyFill="1" applyBorder="1" applyAlignment="1">
      <alignment wrapText="1"/>
    </xf>
    <xf numFmtId="41" fontId="26" fillId="0" borderId="1" xfId="7" quotePrefix="1" applyFont="1" applyFill="1" applyBorder="1" applyAlignment="1">
      <alignment wrapText="1"/>
    </xf>
    <xf numFmtId="37" fontId="18" fillId="0" borderId="1" xfId="9" applyNumberFormat="1" applyFont="1" applyBorder="1"/>
    <xf numFmtId="37" fontId="18" fillId="0" borderId="1" xfId="9" applyNumberFormat="1" applyFont="1" applyFill="1" applyBorder="1"/>
    <xf numFmtId="37" fontId="19" fillId="0" borderId="1" xfId="9" applyNumberFormat="1" applyFont="1" applyFill="1" applyBorder="1"/>
    <xf numFmtId="37" fontId="18" fillId="14" borderId="1" xfId="9" applyNumberFormat="1" applyFont="1" applyFill="1" applyBorder="1"/>
    <xf numFmtId="0" fontId="26" fillId="0" borderId="1" xfId="9" applyNumberFormat="1" applyFont="1" applyFill="1" applyBorder="1" applyAlignment="1">
      <alignment horizontal="left" vertical="center" wrapText="1"/>
    </xf>
    <xf numFmtId="41" fontId="26" fillId="0" borderId="1" xfId="7" applyFont="1" applyFill="1" applyBorder="1" applyAlignment="1">
      <alignment horizontal="left" vertical="center" wrapText="1"/>
    </xf>
    <xf numFmtId="0" fontId="16" fillId="4" borderId="15" xfId="9" quotePrefix="1" applyNumberFormat="1" applyFont="1" applyFill="1" applyBorder="1" applyAlignment="1">
      <alignment vertical="top"/>
    </xf>
    <xf numFmtId="0" fontId="16" fillId="4" borderId="1" xfId="9" quotePrefix="1" applyNumberFormat="1" applyFont="1" applyFill="1" applyBorder="1" applyAlignment="1">
      <alignment wrapText="1"/>
    </xf>
    <xf numFmtId="41" fontId="16" fillId="4" borderId="1" xfId="7" quotePrefix="1" applyFont="1" applyFill="1" applyBorder="1" applyAlignment="1">
      <alignment wrapText="1"/>
    </xf>
    <xf numFmtId="37" fontId="16" fillId="4" borderId="1" xfId="9" quotePrefix="1" applyNumberFormat="1" applyFont="1" applyFill="1" applyBorder="1" applyAlignment="1">
      <alignment vertical="center"/>
    </xf>
    <xf numFmtId="37" fontId="17" fillId="4" borderId="1" xfId="9" quotePrefix="1" applyNumberFormat="1" applyFont="1" applyFill="1" applyBorder="1" applyAlignment="1">
      <alignment vertical="center"/>
    </xf>
    <xf numFmtId="0" fontId="16" fillId="0" borderId="1" xfId="9" applyNumberFormat="1" applyFont="1" applyFill="1" applyBorder="1" applyAlignment="1">
      <alignment horizontal="left" wrapText="1"/>
    </xf>
    <xf numFmtId="41" fontId="16" fillId="0" borderId="1" xfId="7" applyFont="1" applyFill="1" applyBorder="1" applyAlignment="1">
      <alignment horizontal="left" wrapText="1"/>
    </xf>
    <xf numFmtId="0" fontId="28" fillId="0" borderId="0" xfId="9" applyFont="1"/>
    <xf numFmtId="0" fontId="16" fillId="0" borderId="15" xfId="9" quotePrefix="1" applyNumberFormat="1" applyFont="1" applyFill="1" applyBorder="1" applyAlignment="1">
      <alignment horizontal="left" vertical="top"/>
    </xf>
    <xf numFmtId="41" fontId="16" fillId="0" borderId="1" xfId="7" applyFont="1" applyFill="1" applyBorder="1" applyAlignment="1">
      <alignment horizontal="left" vertical="top" wrapText="1"/>
    </xf>
    <xf numFmtId="37" fontId="16" fillId="16" borderId="1" xfId="9" quotePrefix="1" applyNumberFormat="1" applyFont="1" applyFill="1" applyBorder="1" applyAlignment="1">
      <alignment vertical="top"/>
    </xf>
    <xf numFmtId="0" fontId="16" fillId="0" borderId="1" xfId="9" applyNumberFormat="1" applyFont="1" applyFill="1" applyBorder="1" applyAlignment="1">
      <alignment wrapText="1"/>
    </xf>
    <xf numFmtId="37" fontId="16" fillId="16" borderId="1" xfId="9" quotePrefix="1" applyNumberFormat="1" applyFont="1" applyFill="1" applyBorder="1" applyAlignment="1">
      <alignment vertical="center"/>
    </xf>
    <xf numFmtId="0" fontId="16" fillId="0" borderId="17" xfId="9" quotePrefix="1" applyNumberFormat="1" applyFont="1" applyFill="1" applyBorder="1" applyAlignment="1">
      <alignment vertical="top"/>
    </xf>
    <xf numFmtId="0" fontId="16" fillId="0" borderId="1" xfId="9" applyNumberFormat="1" applyFont="1" applyFill="1" applyBorder="1" applyAlignment="1">
      <alignment vertical="center" wrapText="1"/>
    </xf>
    <xf numFmtId="41" fontId="16" fillId="0" borderId="1" xfId="9" applyNumberFormat="1" applyFont="1" applyFill="1" applyBorder="1" applyAlignment="1">
      <alignment vertical="center"/>
    </xf>
    <xf numFmtId="0" fontId="16" fillId="14" borderId="1" xfId="9" quotePrefix="1" applyNumberFormat="1" applyFont="1" applyFill="1" applyBorder="1" applyAlignment="1">
      <alignment wrapText="1"/>
    </xf>
    <xf numFmtId="41" fontId="16" fillId="14" borderId="1" xfId="7" quotePrefix="1" applyFont="1" applyFill="1" applyBorder="1" applyAlignment="1">
      <alignment wrapText="1"/>
    </xf>
    <xf numFmtId="0" fontId="16" fillId="14" borderId="1" xfId="9" applyNumberFormat="1" applyFont="1" applyFill="1" applyBorder="1" applyAlignment="1">
      <alignment wrapText="1"/>
    </xf>
    <xf numFmtId="41" fontId="16" fillId="18" borderId="1" xfId="7" applyFont="1" applyFill="1" applyBorder="1" applyAlignment="1">
      <alignment wrapText="1"/>
    </xf>
    <xf numFmtId="37" fontId="16" fillId="0" borderId="17" xfId="9" quotePrefix="1" applyNumberFormat="1" applyFont="1" applyFill="1" applyBorder="1" applyAlignment="1">
      <alignment vertical="center"/>
    </xf>
    <xf numFmtId="41" fontId="16" fillId="18" borderId="1" xfId="7" quotePrefix="1" applyFont="1" applyFill="1" applyBorder="1" applyAlignment="1">
      <alignment wrapText="1"/>
    </xf>
    <xf numFmtId="41" fontId="16" fillId="0" borderId="1" xfId="9" quotePrefix="1" applyNumberFormat="1" applyFont="1" applyFill="1" applyBorder="1" applyAlignment="1">
      <alignment vertical="center"/>
    </xf>
    <xf numFmtId="41" fontId="18" fillId="0" borderId="1" xfId="9" quotePrefix="1" applyNumberFormat="1" applyFont="1" applyFill="1" applyBorder="1" applyAlignment="1">
      <alignment vertical="center"/>
    </xf>
    <xf numFmtId="41" fontId="16" fillId="4" borderId="1" xfId="9" quotePrefix="1" applyNumberFormat="1" applyFont="1" applyFill="1" applyBorder="1" applyAlignment="1">
      <alignment vertical="center"/>
    </xf>
    <xf numFmtId="41" fontId="18" fillId="0" borderId="1" xfId="9" applyNumberFormat="1" applyFont="1" applyFill="1" applyBorder="1" applyAlignment="1">
      <alignment vertical="center"/>
    </xf>
    <xf numFmtId="37" fontId="18" fillId="0" borderId="1" xfId="9" applyNumberFormat="1" applyFont="1" applyFill="1" applyBorder="1" applyAlignment="1">
      <alignment vertical="center"/>
    </xf>
    <xf numFmtId="0" fontId="16" fillId="0" borderId="1" xfId="9" quotePrefix="1" applyNumberFormat="1" applyFont="1" applyFill="1" applyBorder="1" applyAlignment="1">
      <alignment vertical="top" wrapText="1"/>
    </xf>
    <xf numFmtId="41" fontId="16" fillId="0" borderId="1" xfId="7" quotePrefix="1" applyFont="1" applyFill="1" applyBorder="1" applyAlignment="1">
      <alignment vertical="top" wrapText="1"/>
    </xf>
    <xf numFmtId="41" fontId="16" fillId="0" borderId="1" xfId="9" quotePrefix="1" applyNumberFormat="1" applyFont="1" applyFill="1" applyBorder="1" applyAlignment="1">
      <alignment vertical="top"/>
    </xf>
    <xf numFmtId="0" fontId="16" fillId="0" borderId="1" xfId="9" applyNumberFormat="1" applyFont="1" applyFill="1" applyBorder="1" applyAlignment="1">
      <alignment vertical="top" wrapText="1"/>
    </xf>
    <xf numFmtId="37" fontId="16" fillId="19" borderId="1" xfId="9" applyNumberFormat="1" applyFont="1" applyFill="1" applyBorder="1" applyAlignment="1">
      <alignment vertical="center"/>
    </xf>
    <xf numFmtId="37" fontId="16" fillId="0" borderId="1" xfId="9" applyNumberFormat="1" applyFont="1" applyFill="1" applyBorder="1" applyAlignment="1">
      <alignment vertical="top"/>
    </xf>
    <xf numFmtId="37" fontId="16" fillId="14" borderId="1" xfId="9" applyNumberFormat="1" applyFont="1" applyFill="1" applyBorder="1" applyAlignment="1">
      <alignment vertical="top"/>
    </xf>
    <xf numFmtId="0" fontId="16" fillId="0" borderId="15" xfId="9" quotePrefix="1" applyNumberFormat="1" applyFont="1" applyFill="1" applyBorder="1" applyAlignment="1">
      <alignment vertical="top" wrapText="1"/>
    </xf>
    <xf numFmtId="37" fontId="18" fillId="16" borderId="1" xfId="9" applyNumberFormat="1" applyFont="1" applyFill="1" applyBorder="1"/>
    <xf numFmtId="0" fontId="18" fillId="0" borderId="15" xfId="9" quotePrefix="1" applyNumberFormat="1" applyFont="1" applyFill="1" applyBorder="1" applyAlignment="1">
      <alignment horizontal="left" vertical="top"/>
    </xf>
    <xf numFmtId="37" fontId="19" fillId="0" borderId="1" xfId="9" applyNumberFormat="1" applyFont="1" applyFill="1" applyBorder="1" applyAlignment="1">
      <alignment vertical="center"/>
    </xf>
    <xf numFmtId="37" fontId="18" fillId="14" borderId="1" xfId="9" applyNumberFormat="1" applyFont="1" applyFill="1" applyBorder="1" applyAlignment="1">
      <alignment vertical="center"/>
    </xf>
    <xf numFmtId="41" fontId="18" fillId="18" borderId="1" xfId="7" quotePrefix="1" applyFont="1" applyFill="1" applyBorder="1" applyAlignment="1">
      <alignment wrapText="1"/>
    </xf>
    <xf numFmtId="41" fontId="18" fillId="17" borderId="1" xfId="7" quotePrefix="1" applyFont="1" applyFill="1" applyBorder="1" applyAlignment="1">
      <alignment wrapText="1"/>
    </xf>
    <xf numFmtId="0" fontId="18" fillId="0" borderId="1" xfId="9" quotePrefix="1" applyNumberFormat="1" applyFont="1" applyFill="1" applyBorder="1" applyAlignment="1">
      <alignment vertical="top" wrapText="1"/>
    </xf>
    <xf numFmtId="41" fontId="18" fillId="17" borderId="1" xfId="7" quotePrefix="1" applyFont="1" applyFill="1" applyBorder="1" applyAlignment="1">
      <alignment vertical="top" wrapText="1"/>
    </xf>
    <xf numFmtId="37" fontId="18" fillId="0" borderId="1" xfId="9" applyNumberFormat="1" applyFont="1" applyBorder="1" applyAlignment="1">
      <alignment vertical="top"/>
    </xf>
    <xf numFmtId="37" fontId="18" fillId="0" borderId="1" xfId="9" applyNumberFormat="1" applyFont="1" applyFill="1" applyBorder="1" applyAlignment="1">
      <alignment vertical="top"/>
    </xf>
    <xf numFmtId="37" fontId="19" fillId="0" borderId="1" xfId="9" applyNumberFormat="1" applyFont="1" applyFill="1" applyBorder="1" applyAlignment="1">
      <alignment vertical="top"/>
    </xf>
    <xf numFmtId="37" fontId="18" fillId="14" borderId="1" xfId="9" applyNumberFormat="1" applyFont="1" applyFill="1" applyBorder="1" applyAlignment="1">
      <alignment vertical="top"/>
    </xf>
    <xf numFmtId="0" fontId="18" fillId="0" borderId="1" xfId="9" applyNumberFormat="1" applyFont="1" applyFill="1" applyBorder="1" applyAlignment="1">
      <alignment vertical="top" wrapText="1"/>
    </xf>
    <xf numFmtId="41" fontId="18" fillId="0" borderId="1" xfId="7" applyFont="1" applyFill="1" applyBorder="1" applyAlignment="1">
      <alignment vertical="top" wrapText="1"/>
    </xf>
    <xf numFmtId="37" fontId="18" fillId="17" borderId="1" xfId="9" applyNumberFormat="1" applyFont="1" applyFill="1" applyBorder="1"/>
    <xf numFmtId="0" fontId="18" fillId="16" borderId="1" xfId="9" applyNumberFormat="1" applyFont="1" applyFill="1" applyBorder="1" applyAlignment="1">
      <alignment wrapText="1"/>
    </xf>
    <xf numFmtId="41" fontId="18" fillId="16" borderId="1" xfId="7" applyFont="1" applyFill="1" applyBorder="1" applyAlignment="1">
      <alignment wrapText="1"/>
    </xf>
    <xf numFmtId="37" fontId="18" fillId="16" borderId="1" xfId="9" applyNumberFormat="1" applyFont="1" applyFill="1" applyBorder="1" applyAlignment="1">
      <alignment vertical="center"/>
    </xf>
    <xf numFmtId="41" fontId="18" fillId="0" borderId="1" xfId="7" quotePrefix="1" applyFont="1" applyFill="1" applyBorder="1" applyAlignment="1">
      <alignment vertical="top" wrapText="1"/>
    </xf>
    <xf numFmtId="37" fontId="18" fillId="0" borderId="12" xfId="9" applyNumberFormat="1" applyFont="1" applyFill="1" applyBorder="1"/>
    <xf numFmtId="37" fontId="29" fillId="0" borderId="1" xfId="9" applyNumberFormat="1" applyFont="1" applyFill="1" applyBorder="1"/>
    <xf numFmtId="0" fontId="28" fillId="0" borderId="0" xfId="9" applyFont="1" applyFill="1"/>
    <xf numFmtId="0" fontId="18" fillId="0" borderId="15" xfId="9" quotePrefix="1" applyNumberFormat="1" applyFont="1" applyFill="1" applyBorder="1" applyAlignment="1">
      <alignment vertical="top" wrapText="1"/>
    </xf>
    <xf numFmtId="0" fontId="18" fillId="0" borderId="1" xfId="9" quotePrefix="1" applyNumberFormat="1" applyFont="1" applyFill="1" applyBorder="1" applyAlignment="1">
      <alignment vertical="center" wrapText="1"/>
    </xf>
    <xf numFmtId="37" fontId="29" fillId="0" borderId="1" xfId="9" applyNumberFormat="1" applyFont="1" applyFill="1" applyBorder="1" applyAlignment="1">
      <alignment vertical="center"/>
    </xf>
    <xf numFmtId="0" fontId="16" fillId="0" borderId="1" xfId="9" quotePrefix="1" applyNumberFormat="1" applyFont="1" applyFill="1" applyBorder="1" applyAlignment="1">
      <alignment horizontal="left" wrapText="1"/>
    </xf>
    <xf numFmtId="0" fontId="11" fillId="0" borderId="0" xfId="9" applyFont="1" applyFill="1" applyAlignment="1">
      <alignment vertical="center"/>
    </xf>
    <xf numFmtId="0" fontId="18" fillId="0" borderId="1" xfId="9" applyNumberFormat="1" applyFont="1" applyFill="1" applyBorder="1" applyAlignment="1">
      <alignment vertical="center" wrapText="1"/>
    </xf>
    <xf numFmtId="37" fontId="16" fillId="0" borderId="1" xfId="9" applyNumberFormat="1" applyFont="1" applyFill="1" applyBorder="1" applyAlignment="1">
      <alignment vertical="center" wrapText="1"/>
    </xf>
    <xf numFmtId="37" fontId="17" fillId="0" borderId="1" xfId="9" applyNumberFormat="1" applyFont="1" applyFill="1" applyBorder="1" applyAlignment="1">
      <alignment vertical="center" wrapText="1"/>
    </xf>
    <xf numFmtId="37" fontId="16" fillId="14" borderId="1" xfId="9" applyNumberFormat="1" applyFont="1" applyFill="1" applyBorder="1" applyAlignment="1">
      <alignment vertical="center" wrapText="1"/>
    </xf>
    <xf numFmtId="0" fontId="18" fillId="0" borderId="18" xfId="9" quotePrefix="1" applyNumberFormat="1" applyFont="1" applyFill="1" applyBorder="1" applyAlignment="1">
      <alignment vertical="top"/>
    </xf>
    <xf numFmtId="0" fontId="18" fillId="0" borderId="6" xfId="9" quotePrefix="1" applyNumberFormat="1" applyFont="1" applyFill="1" applyBorder="1" applyAlignment="1">
      <alignment wrapText="1"/>
    </xf>
    <xf numFmtId="37" fontId="18" fillId="0" borderId="6" xfId="9" applyNumberFormat="1" applyFont="1" applyFill="1" applyBorder="1" applyAlignment="1">
      <alignment vertical="center"/>
    </xf>
    <xf numFmtId="37" fontId="19" fillId="0" borderId="6" xfId="9" applyNumberFormat="1" applyFont="1" applyFill="1" applyBorder="1" applyAlignment="1">
      <alignment vertical="center"/>
    </xf>
    <xf numFmtId="0" fontId="16" fillId="0" borderId="1" xfId="9" applyFont="1" applyFill="1" applyBorder="1" applyAlignment="1">
      <alignment horizontal="left" vertical="center" wrapText="1"/>
    </xf>
    <xf numFmtId="0" fontId="18" fillId="0" borderId="14" xfId="9" applyFont="1" applyFill="1" applyBorder="1"/>
    <xf numFmtId="0" fontId="19" fillId="0" borderId="14" xfId="9" applyFont="1" applyFill="1" applyBorder="1"/>
    <xf numFmtId="165" fontId="11" fillId="0" borderId="0" xfId="1" applyNumberFormat="1" applyFont="1" applyFill="1"/>
    <xf numFmtId="37" fontId="11" fillId="0" borderId="0" xfId="9" applyNumberFormat="1" applyFont="1" applyFill="1"/>
    <xf numFmtId="37" fontId="13" fillId="0" borderId="0" xfId="9" applyNumberFormat="1" applyFont="1" applyFill="1"/>
    <xf numFmtId="37" fontId="11" fillId="14" borderId="0" xfId="9" applyNumberFormat="1" applyFont="1" applyFill="1"/>
    <xf numFmtId="37" fontId="30" fillId="0" borderId="0" xfId="9" applyNumberFormat="1" applyFont="1"/>
    <xf numFmtId="37" fontId="30" fillId="0" borderId="0" xfId="9" applyNumberFormat="1" applyFont="1" applyFill="1"/>
    <xf numFmtId="37" fontId="31" fillId="0" borderId="0" xfId="9" applyNumberFormat="1" applyFont="1" applyFill="1"/>
    <xf numFmtId="37" fontId="30" fillId="14" borderId="0" xfId="9" applyNumberFormat="1" applyFont="1" applyFill="1"/>
    <xf numFmtId="0" fontId="30" fillId="0" borderId="0" xfId="9" applyFont="1"/>
    <xf numFmtId="0" fontId="30" fillId="0" borderId="0" xfId="9" applyFont="1" applyFill="1"/>
    <xf numFmtId="0" fontId="31" fillId="0" borderId="0" xfId="9" applyFont="1" applyFill="1"/>
    <xf numFmtId="0" fontId="30" fillId="14" borderId="0" xfId="9" applyFont="1" applyFill="1"/>
    <xf numFmtId="0" fontId="7" fillId="0" borderId="0" xfId="3" applyFont="1" applyFill="1" applyAlignment="1">
      <alignment horizontal="right" vertical="center"/>
    </xf>
    <xf numFmtId="0" fontId="32" fillId="0" borderId="0" xfId="3" applyFont="1" applyFill="1" applyAlignment="1">
      <alignment horizontal="center" vertical="center"/>
    </xf>
    <xf numFmtId="43" fontId="7" fillId="0" borderId="0" xfId="3" applyNumberFormat="1" applyFont="1" applyFill="1" applyAlignment="1">
      <alignment horizontal="center" vertical="center"/>
    </xf>
    <xf numFmtId="165" fontId="33" fillId="0" borderId="0" xfId="6" applyNumberFormat="1" applyFont="1" applyFill="1" applyAlignment="1">
      <alignment horizontal="center" vertical="center"/>
    </xf>
    <xf numFmtId="165" fontId="33" fillId="0" borderId="0" xfId="3" applyNumberFormat="1" applyFont="1" applyFill="1" applyAlignment="1">
      <alignment horizontal="center" vertical="center"/>
    </xf>
    <xf numFmtId="0" fontId="33" fillId="0" borderId="0" xfId="3" applyFont="1" applyFill="1" applyAlignment="1">
      <alignment horizontal="center" vertical="center"/>
    </xf>
    <xf numFmtId="43" fontId="9" fillId="0" borderId="5" xfId="5" applyNumberFormat="1" applyFont="1" applyFill="1" applyBorder="1" applyAlignment="1">
      <alignment horizontal="center" vertical="center"/>
    </xf>
    <xf numFmtId="165" fontId="35" fillId="0" borderId="3" xfId="5" applyNumberFormat="1" applyFont="1" applyFill="1" applyBorder="1" applyAlignment="1">
      <alignment horizontal="center" vertical="center"/>
    </xf>
    <xf numFmtId="165" fontId="9" fillId="0" borderId="4" xfId="5" applyNumberFormat="1" applyFont="1" applyFill="1" applyBorder="1" applyAlignment="1">
      <alignment horizontal="center" vertical="center"/>
    </xf>
    <xf numFmtId="2" fontId="9" fillId="0" borderId="4" xfId="3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wrapText="1"/>
    </xf>
    <xf numFmtId="49" fontId="9" fillId="0" borderId="4" xfId="3" applyNumberFormat="1" applyFont="1" applyFill="1" applyBorder="1" applyAlignment="1">
      <alignment vertical="center"/>
    </xf>
    <xf numFmtId="165" fontId="7" fillId="0" borderId="0" xfId="1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65" fontId="35" fillId="0" borderId="4" xfId="5" applyNumberFormat="1" applyFont="1" applyFill="1" applyBorder="1" applyAlignment="1">
      <alignment horizontal="center" vertical="center"/>
    </xf>
    <xf numFmtId="0" fontId="36" fillId="0" borderId="0" xfId="3" applyFont="1" applyFill="1" applyAlignment="1">
      <alignment horizontal="center" vertical="center"/>
    </xf>
    <xf numFmtId="49" fontId="0" fillId="0" borderId="0" xfId="0" applyNumberFormat="1"/>
    <xf numFmtId="0" fontId="8" fillId="0" borderId="0" xfId="3" applyFont="1" applyAlignment="1">
      <alignment horizontal="center" vertical="center"/>
    </xf>
    <xf numFmtId="0" fontId="37" fillId="0" borderId="0" xfId="4" applyFont="1"/>
    <xf numFmtId="49" fontId="9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center" wrapText="1"/>
    </xf>
    <xf numFmtId="165" fontId="9" fillId="0" borderId="0" xfId="5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165" fontId="9" fillId="0" borderId="8" xfId="5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/>
    </xf>
    <xf numFmtId="165" fontId="8" fillId="0" borderId="5" xfId="5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1" xfId="5" applyNumberFormat="1" applyFont="1" applyFill="1" applyBorder="1" applyAlignment="1">
      <alignment horizontal="center" vertical="center"/>
    </xf>
    <xf numFmtId="165" fontId="8" fillId="0" borderId="6" xfId="5" applyNumberFormat="1" applyFont="1" applyFill="1" applyBorder="1" applyAlignment="1">
      <alignment horizontal="center" vertical="center"/>
    </xf>
    <xf numFmtId="49" fontId="9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horizontal="left" vertical="center" wrapText="1"/>
    </xf>
    <xf numFmtId="165" fontId="9" fillId="0" borderId="0" xfId="6" applyNumberFormat="1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165" fontId="38" fillId="0" borderId="0" xfId="5" applyNumberFormat="1" applyFont="1" applyAlignment="1">
      <alignment horizontal="center" vertical="center"/>
    </xf>
    <xf numFmtId="165" fontId="38" fillId="0" borderId="0" xfId="6" applyNumberFormat="1" applyFont="1" applyAlignment="1">
      <alignment horizontal="center" vertical="center"/>
    </xf>
    <xf numFmtId="165" fontId="9" fillId="2" borderId="5" xfId="5" applyNumberFormat="1" applyFont="1" applyFill="1" applyBorder="1" applyAlignment="1">
      <alignment horizontal="center" vertical="center"/>
    </xf>
    <xf numFmtId="165" fontId="34" fillId="2" borderId="0" xfId="3" applyNumberFormat="1" applyFont="1" applyFill="1" applyAlignment="1">
      <alignment horizontal="center" vertical="center"/>
    </xf>
    <xf numFmtId="43" fontId="8" fillId="0" borderId="0" xfId="3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49" fontId="39" fillId="0" borderId="1" xfId="3" applyNumberFormat="1" applyFont="1" applyFill="1" applyBorder="1" applyAlignment="1">
      <alignment vertical="center"/>
    </xf>
    <xf numFmtId="0" fontId="39" fillId="0" borderId="1" xfId="3" applyFont="1" applyFill="1" applyBorder="1" applyAlignment="1">
      <alignment horizontal="left" vertical="center" wrapText="1"/>
    </xf>
    <xf numFmtId="165" fontId="39" fillId="0" borderId="1" xfId="5" applyNumberFormat="1" applyFont="1" applyFill="1" applyBorder="1" applyAlignment="1">
      <alignment horizontal="center" vertical="center"/>
    </xf>
    <xf numFmtId="165" fontId="39" fillId="0" borderId="1" xfId="1" applyNumberFormat="1" applyFont="1" applyFill="1" applyBorder="1" applyAlignment="1">
      <alignment horizontal="center" vertical="center"/>
    </xf>
    <xf numFmtId="165" fontId="40" fillId="0" borderId="1" xfId="5" applyNumberFormat="1" applyFont="1" applyFill="1" applyBorder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165" fontId="39" fillId="0" borderId="0" xfId="3" applyNumberFormat="1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1" fillId="0" borderId="0" xfId="4" applyFont="1"/>
    <xf numFmtId="43" fontId="8" fillId="0" borderId="0" xfId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49" fontId="8" fillId="0" borderId="2" xfId="3" applyNumberFormat="1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 wrapText="1"/>
    </xf>
    <xf numFmtId="165" fontId="8" fillId="0" borderId="2" xfId="5" applyNumberFormat="1" applyFont="1" applyFill="1" applyBorder="1" applyAlignment="1">
      <alignment horizontal="center" vertical="center"/>
    </xf>
    <xf numFmtId="165" fontId="8" fillId="0" borderId="12" xfId="5" applyNumberFormat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2" fontId="9" fillId="0" borderId="0" xfId="3" applyNumberFormat="1" applyFont="1" applyAlignment="1">
      <alignment horizontal="center" vertical="center"/>
    </xf>
    <xf numFmtId="43" fontId="9" fillId="0" borderId="0" xfId="3" applyNumberFormat="1" applyFont="1" applyAlignment="1">
      <alignment horizontal="center" vertical="center"/>
    </xf>
    <xf numFmtId="49" fontId="42" fillId="20" borderId="3" xfId="0" applyNumberFormat="1" applyFont="1" applyFill="1" applyBorder="1" applyAlignment="1">
      <alignment vertical="center"/>
    </xf>
    <xf numFmtId="0" fontId="42" fillId="20" borderId="3" xfId="0" applyFont="1" applyFill="1" applyBorder="1" applyAlignment="1">
      <alignment horizontal="left" vertical="center" wrapText="1" indent="1"/>
    </xf>
    <xf numFmtId="165" fontId="42" fillId="20" borderId="3" xfId="6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42" fillId="21" borderId="3" xfId="0" applyNumberFormat="1" applyFont="1" applyFill="1" applyBorder="1" applyAlignment="1">
      <alignment vertical="center"/>
    </xf>
    <xf numFmtId="0" fontId="42" fillId="21" borderId="3" xfId="0" applyFont="1" applyFill="1" applyBorder="1" applyAlignment="1">
      <alignment horizontal="left" vertical="center" wrapText="1" indent="1"/>
    </xf>
    <xf numFmtId="165" fontId="42" fillId="21" borderId="3" xfId="6" applyNumberFormat="1" applyFont="1" applyFill="1" applyBorder="1" applyAlignment="1">
      <alignment horizontal="center" vertical="center"/>
    </xf>
    <xf numFmtId="49" fontId="43" fillId="0" borderId="5" xfId="0" applyNumberFormat="1" applyFont="1" applyBorder="1" applyAlignment="1">
      <alignment vertical="center"/>
    </xf>
    <xf numFmtId="0" fontId="43" fillId="0" borderId="5" xfId="0" applyFont="1" applyBorder="1" applyAlignment="1">
      <alignment horizontal="left" vertical="center" wrapText="1" indent="1"/>
    </xf>
    <xf numFmtId="37" fontId="43" fillId="0" borderId="5" xfId="6" applyNumberFormat="1" applyFont="1" applyBorder="1" applyAlignment="1">
      <alignment horizontal="right" vertical="center"/>
    </xf>
    <xf numFmtId="165" fontId="43" fillId="0" borderId="0" xfId="1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43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left" vertical="center" wrapText="1" indent="1"/>
    </xf>
    <xf numFmtId="37" fontId="43" fillId="0" borderId="1" xfId="6" applyNumberFormat="1" applyFont="1" applyBorder="1" applyAlignment="1">
      <alignment horizontal="right" vertical="center"/>
    </xf>
    <xf numFmtId="0" fontId="43" fillId="0" borderId="8" xfId="0" applyFont="1" applyBorder="1" applyAlignment="1">
      <alignment horizontal="left" vertical="center" wrapText="1" indent="1"/>
    </xf>
    <xf numFmtId="43" fontId="43" fillId="0" borderId="0" xfId="1" applyFont="1" applyAlignment="1">
      <alignment horizontal="center" vertical="center"/>
    </xf>
    <xf numFmtId="49" fontId="43" fillId="0" borderId="4" xfId="0" applyNumberFormat="1" applyFont="1" applyBorder="1" applyAlignment="1">
      <alignment vertical="center"/>
    </xf>
    <xf numFmtId="0" fontId="43" fillId="0" borderId="4" xfId="0" applyFont="1" applyBorder="1" applyAlignment="1">
      <alignment horizontal="left" vertical="center" wrapText="1" indent="1"/>
    </xf>
    <xf numFmtId="37" fontId="43" fillId="0" borderId="4" xfId="6" applyNumberFormat="1" applyFont="1" applyBorder="1" applyAlignment="1">
      <alignment horizontal="right" vertical="center"/>
    </xf>
    <xf numFmtId="49" fontId="43" fillId="22" borderId="4" xfId="0" applyNumberFormat="1" applyFont="1" applyFill="1" applyBorder="1" applyAlignment="1">
      <alignment vertical="center"/>
    </xf>
    <xf numFmtId="0" fontId="43" fillId="22" borderId="4" xfId="0" applyFont="1" applyFill="1" applyBorder="1" applyAlignment="1">
      <alignment horizontal="left" vertical="center" wrapText="1" indent="1"/>
    </xf>
    <xf numFmtId="37" fontId="43" fillId="22" borderId="4" xfId="6" applyNumberFormat="1" applyFont="1" applyFill="1" applyBorder="1" applyAlignment="1">
      <alignment horizontal="right" vertical="center"/>
    </xf>
    <xf numFmtId="165" fontId="43" fillId="0" borderId="0" xfId="6" applyNumberFormat="1" applyFont="1" applyAlignment="1">
      <alignment horizontal="center" vertical="center"/>
    </xf>
    <xf numFmtId="37" fontId="43" fillId="0" borderId="5" xfId="6" applyNumberFormat="1" applyFont="1" applyBorder="1" applyAlignment="1">
      <alignment vertical="center"/>
    </xf>
    <xf numFmtId="37" fontId="43" fillId="0" borderId="1" xfId="6" applyNumberFormat="1" applyFont="1" applyBorder="1" applyAlignment="1">
      <alignment vertical="center"/>
    </xf>
    <xf numFmtId="165" fontId="44" fillId="0" borderId="0" xfId="1" applyNumberFormat="1" applyFont="1" applyAlignment="1">
      <alignment horizontal="center" vertical="center"/>
    </xf>
    <xf numFmtId="49" fontId="43" fillId="0" borderId="20" xfId="0" applyNumberFormat="1" applyFont="1" applyBorder="1" applyAlignment="1">
      <alignment vertical="center"/>
    </xf>
    <xf numFmtId="0" fontId="43" fillId="0" borderId="20" xfId="0" applyFont="1" applyBorder="1" applyAlignment="1">
      <alignment horizontal="left" vertical="center" wrapText="1" indent="1"/>
    </xf>
    <xf numFmtId="37" fontId="43" fillId="0" borderId="20" xfId="6" applyNumberFormat="1" applyFont="1" applyBorder="1" applyAlignment="1">
      <alignment vertical="center"/>
    </xf>
    <xf numFmtId="49" fontId="42" fillId="22" borderId="3" xfId="0" applyNumberFormat="1" applyFont="1" applyFill="1" applyBorder="1" applyAlignment="1">
      <alignment vertical="center"/>
    </xf>
    <xf numFmtId="0" fontId="42" fillId="22" borderId="3" xfId="0" applyFont="1" applyFill="1" applyBorder="1" applyAlignment="1">
      <alignment horizontal="left" vertical="center" wrapText="1" indent="1"/>
    </xf>
    <xf numFmtId="165" fontId="42" fillId="22" borderId="3" xfId="6" applyNumberFormat="1" applyFont="1" applyFill="1" applyBorder="1" applyAlignment="1">
      <alignment horizontal="center" vertical="center"/>
    </xf>
    <xf numFmtId="165" fontId="42" fillId="0" borderId="0" xfId="6" applyNumberFormat="1" applyFont="1" applyAlignment="1">
      <alignment horizontal="center" vertical="center"/>
    </xf>
    <xf numFmtId="165" fontId="42" fillId="0" borderId="0" xfId="1" applyNumberFormat="1" applyFont="1" applyAlignment="1">
      <alignment horizontal="center" vertical="center"/>
    </xf>
    <xf numFmtId="49" fontId="42" fillId="23" borderId="3" xfId="0" applyNumberFormat="1" applyFont="1" applyFill="1" applyBorder="1" applyAlignment="1">
      <alignment vertical="center"/>
    </xf>
    <xf numFmtId="0" fontId="42" fillId="23" borderId="3" xfId="0" applyFont="1" applyFill="1" applyBorder="1" applyAlignment="1">
      <alignment horizontal="left" vertical="center" wrapText="1" indent="1"/>
    </xf>
    <xf numFmtId="37" fontId="42" fillId="23" borderId="3" xfId="6" applyNumberFormat="1" applyFont="1" applyFill="1" applyBorder="1" applyAlignment="1">
      <alignment horizontal="right" vertical="center"/>
    </xf>
    <xf numFmtId="37" fontId="45" fillId="23" borderId="3" xfId="6" applyNumberFormat="1" applyFont="1" applyFill="1" applyBorder="1" applyAlignment="1">
      <alignment horizontal="right" vertical="center"/>
    </xf>
    <xf numFmtId="3" fontId="45" fillId="23" borderId="3" xfId="6" applyNumberFormat="1" applyFont="1" applyFill="1" applyBorder="1" applyAlignment="1">
      <alignment horizontal="right" vertical="center"/>
    </xf>
    <xf numFmtId="49" fontId="43" fillId="0" borderId="7" xfId="0" applyNumberFormat="1" applyFont="1" applyBorder="1" applyAlignment="1">
      <alignment vertical="center"/>
    </xf>
    <xf numFmtId="0" fontId="43" fillId="0" borderId="7" xfId="0" applyFont="1" applyBorder="1" applyAlignment="1">
      <alignment horizontal="left" vertical="center" indent="1"/>
    </xf>
    <xf numFmtId="49" fontId="43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left" vertical="center" indent="1"/>
    </xf>
    <xf numFmtId="165" fontId="43" fillId="0" borderId="0" xfId="0" applyNumberFormat="1" applyFont="1" applyAlignment="1">
      <alignment horizontal="center" vertical="center"/>
    </xf>
    <xf numFmtId="49" fontId="42" fillId="0" borderId="0" xfId="6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165" fontId="7" fillId="0" borderId="0" xfId="3" applyNumberFormat="1" applyFont="1" applyFill="1" applyAlignment="1">
      <alignment horizontal="center" vertical="center"/>
    </xf>
    <xf numFmtId="165" fontId="32" fillId="0" borderId="0" xfId="1" applyNumberFormat="1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right" vertical="center"/>
    </xf>
    <xf numFmtId="49" fontId="3" fillId="0" borderId="0" xfId="1" applyNumberFormat="1" applyFont="1" applyAlignment="1">
      <alignment horizontal="center"/>
    </xf>
    <xf numFmtId="49" fontId="7" fillId="0" borderId="12" xfId="3" applyNumberFormat="1" applyFont="1" applyFill="1" applyBorder="1" applyAlignment="1">
      <alignment vertical="center"/>
    </xf>
    <xf numFmtId="0" fontId="7" fillId="0" borderId="12" xfId="3" applyFont="1" applyFill="1" applyBorder="1" applyAlignment="1">
      <alignment horizontal="left" vertical="center" wrapText="1"/>
    </xf>
    <xf numFmtId="165" fontId="7" fillId="0" borderId="12" xfId="5" applyNumberFormat="1" applyFont="1" applyFill="1" applyBorder="1" applyAlignment="1">
      <alignment horizontal="center" vertical="center"/>
    </xf>
    <xf numFmtId="49" fontId="7" fillId="0" borderId="20" xfId="3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horizontal="left" vertical="center" wrapText="1"/>
    </xf>
    <xf numFmtId="165" fontId="7" fillId="0" borderId="20" xfId="5" applyNumberFormat="1" applyFont="1" applyFill="1" applyBorder="1" applyAlignment="1">
      <alignment horizontal="center" vertical="center"/>
    </xf>
    <xf numFmtId="0" fontId="48" fillId="0" borderId="0" xfId="0" applyFont="1"/>
    <xf numFmtId="165" fontId="48" fillId="0" borderId="0" xfId="1" applyNumberFormat="1" applyFont="1"/>
    <xf numFmtId="49" fontId="50" fillId="0" borderId="0" xfId="0" applyNumberFormat="1" applyFont="1" applyAlignment="1">
      <alignment vertical="center"/>
    </xf>
    <xf numFmtId="165" fontId="50" fillId="0" borderId="0" xfId="1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165" fontId="50" fillId="0" borderId="3" xfId="1" applyNumberFormat="1" applyFont="1" applyBorder="1" applyAlignment="1">
      <alignment horizontal="center" vertical="center"/>
    </xf>
    <xf numFmtId="165" fontId="48" fillId="0" borderId="3" xfId="1" applyNumberFormat="1" applyFont="1" applyBorder="1"/>
    <xf numFmtId="165" fontId="49" fillId="0" borderId="22" xfId="1" applyNumberFormat="1" applyFont="1" applyBorder="1" applyAlignment="1">
      <alignment horizontal="left" vertical="center"/>
    </xf>
    <xf numFmtId="0" fontId="48" fillId="0" borderId="4" xfId="0" applyFont="1" applyBorder="1" applyAlignment="1">
      <alignment horizontal="center"/>
    </xf>
    <xf numFmtId="0" fontId="48" fillId="0" borderId="3" xfId="0" applyFont="1" applyBorder="1"/>
    <xf numFmtId="0" fontId="48" fillId="0" borderId="12" xfId="0" applyFont="1" applyBorder="1" applyAlignment="1">
      <alignment horizontal="center"/>
    </xf>
    <xf numFmtId="165" fontId="49" fillId="0" borderId="23" xfId="1" applyNumberFormat="1" applyFont="1" applyBorder="1" applyAlignment="1">
      <alignment horizontal="left" vertical="center"/>
    </xf>
    <xf numFmtId="165" fontId="48" fillId="0" borderId="2" xfId="1" applyNumberFormat="1" applyFont="1" applyBorder="1"/>
    <xf numFmtId="165" fontId="48" fillId="0" borderId="4" xfId="1" applyNumberFormat="1" applyFont="1" applyBorder="1"/>
    <xf numFmtId="0" fontId="48" fillId="0" borderId="1" xfId="0" applyFont="1" applyBorder="1" applyAlignment="1">
      <alignment horizontal="center"/>
    </xf>
    <xf numFmtId="165" fontId="48" fillId="0" borderId="1" xfId="1" applyNumberFormat="1" applyFont="1" applyBorder="1"/>
    <xf numFmtId="165" fontId="49" fillId="0" borderId="6" xfId="1" applyNumberFormat="1" applyFont="1" applyBorder="1" applyAlignment="1">
      <alignment horizontal="left" vertical="center"/>
    </xf>
    <xf numFmtId="0" fontId="53" fillId="13" borderId="3" xfId="0" applyFont="1" applyFill="1" applyBorder="1"/>
    <xf numFmtId="0" fontId="53" fillId="13" borderId="3" xfId="0" applyFont="1" applyFill="1" applyBorder="1" applyAlignment="1">
      <alignment horizontal="center"/>
    </xf>
    <xf numFmtId="165" fontId="53" fillId="13" borderId="3" xfId="1" applyNumberFormat="1" applyFont="1" applyFill="1" applyBorder="1"/>
    <xf numFmtId="165" fontId="53" fillId="13" borderId="0" xfId="1" applyNumberFormat="1" applyFont="1" applyFill="1"/>
    <xf numFmtId="0" fontId="53" fillId="13" borderId="0" xfId="0" applyFont="1" applyFill="1"/>
    <xf numFmtId="49" fontId="5" fillId="0" borderId="0" xfId="3" applyNumberFormat="1" applyFont="1" applyFill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49" fontId="5" fillId="0" borderId="0" xfId="3" applyNumberFormat="1" applyFont="1" applyFill="1" applyAlignment="1">
      <alignment vertical="center"/>
    </xf>
    <xf numFmtId="10" fontId="5" fillId="0" borderId="3" xfId="5" applyNumberFormat="1" applyFont="1" applyFill="1" applyBorder="1" applyAlignment="1">
      <alignment horizontal="center" vertical="center"/>
    </xf>
    <xf numFmtId="10" fontId="7" fillId="0" borderId="8" xfId="5" applyNumberFormat="1" applyFont="1" applyFill="1" applyBorder="1" applyAlignment="1">
      <alignment horizontal="center" vertical="center"/>
    </xf>
    <xf numFmtId="10" fontId="7" fillId="0" borderId="6" xfId="5" applyNumberFormat="1" applyFont="1" applyFill="1" applyBorder="1" applyAlignment="1">
      <alignment horizontal="center" vertical="center"/>
    </xf>
    <xf numFmtId="10" fontId="7" fillId="0" borderId="8" xfId="1" applyNumberFormat="1" applyFont="1" applyFill="1" applyBorder="1" applyAlignment="1">
      <alignment horizontal="center" vertical="center"/>
    </xf>
    <xf numFmtId="10" fontId="5" fillId="0" borderId="3" xfId="1" applyNumberFormat="1" applyFont="1" applyFill="1" applyBorder="1" applyAlignment="1">
      <alignment horizontal="center" vertical="center"/>
    </xf>
    <xf numFmtId="10" fontId="7" fillId="0" borderId="6" xfId="1" applyNumberFormat="1" applyFont="1" applyFill="1" applyBorder="1" applyAlignment="1">
      <alignment horizontal="center" vertical="center"/>
    </xf>
    <xf numFmtId="10" fontId="5" fillId="0" borderId="5" xfId="5" applyNumberFormat="1" applyFont="1" applyFill="1" applyBorder="1" applyAlignment="1">
      <alignment horizontal="center" vertical="center"/>
    </xf>
    <xf numFmtId="10" fontId="5" fillId="0" borderId="1" xfId="5" applyNumberFormat="1" applyFont="1" applyFill="1" applyBorder="1" applyAlignment="1">
      <alignment horizontal="center" vertical="center"/>
    </xf>
    <xf numFmtId="10" fontId="5" fillId="0" borderId="6" xfId="5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3" xfId="0" applyFont="1" applyBorder="1" applyAlignment="1">
      <alignment horizontal="center"/>
    </xf>
    <xf numFmtId="49" fontId="54" fillId="0" borderId="3" xfId="1" applyNumberFormat="1" applyFont="1" applyBorder="1" applyAlignment="1">
      <alignment horizontal="center"/>
    </xf>
    <xf numFmtId="0" fontId="54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Border="1"/>
    <xf numFmtId="165" fontId="0" fillId="0" borderId="3" xfId="1" applyNumberFormat="1" applyFont="1" applyBorder="1"/>
    <xf numFmtId="165" fontId="54" fillId="0" borderId="3" xfId="1" applyNumberFormat="1" applyFont="1" applyBorder="1"/>
    <xf numFmtId="165" fontId="54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49" fontId="54" fillId="0" borderId="3" xfId="1" applyNumberFormat="1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10" fontId="0" fillId="0" borderId="3" xfId="1" applyNumberFormat="1" applyFont="1" applyBorder="1"/>
    <xf numFmtId="0" fontId="0" fillId="0" borderId="3" xfId="0" applyBorder="1" applyAlignment="1">
      <alignment horizontal="center" vertical="center"/>
    </xf>
    <xf numFmtId="49" fontId="54" fillId="0" borderId="4" xfId="1" applyNumberFormat="1" applyFont="1" applyBorder="1" applyAlignment="1">
      <alignment horizontal="center"/>
    </xf>
    <xf numFmtId="49" fontId="54" fillId="0" borderId="2" xfId="1" applyNumberFormat="1" applyFont="1" applyBorder="1" applyAlignment="1">
      <alignment horizontal="center"/>
    </xf>
    <xf numFmtId="10" fontId="54" fillId="0" borderId="3" xfId="1" applyNumberFormat="1" applyFont="1" applyBorder="1"/>
    <xf numFmtId="10" fontId="1" fillId="0" borderId="3" xfId="1" applyNumberFormat="1" applyFont="1" applyBorder="1" applyAlignment="1">
      <alignment horizontal="center"/>
    </xf>
    <xf numFmtId="10" fontId="1" fillId="0" borderId="3" xfId="1" applyNumberFormat="1" applyFont="1" applyBorder="1" applyAlignment="1"/>
    <xf numFmtId="0" fontId="54" fillId="0" borderId="4" xfId="0" applyFont="1" applyBorder="1"/>
    <xf numFmtId="0" fontId="54" fillId="0" borderId="2" xfId="0" applyFont="1" applyBorder="1"/>
    <xf numFmtId="0" fontId="3" fillId="0" borderId="3" xfId="0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165" fontId="3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65" fontId="3" fillId="0" borderId="4" xfId="1" applyNumberFormat="1" applyFont="1" applyBorder="1"/>
    <xf numFmtId="0" fontId="3" fillId="0" borderId="2" xfId="0" applyFont="1" applyBorder="1"/>
    <xf numFmtId="49" fontId="3" fillId="0" borderId="2" xfId="1" applyNumberFormat="1" applyFont="1" applyBorder="1" applyAlignment="1">
      <alignment horizontal="center"/>
    </xf>
    <xf numFmtId="43" fontId="3" fillId="0" borderId="0" xfId="1" applyFont="1"/>
    <xf numFmtId="10" fontId="3" fillId="0" borderId="3" xfId="1" applyNumberFormat="1" applyFont="1" applyBorder="1"/>
    <xf numFmtId="10" fontId="3" fillId="0" borderId="3" xfId="0" applyNumberFormat="1" applyFont="1" applyBorder="1"/>
    <xf numFmtId="49" fontId="55" fillId="0" borderId="3" xfId="1" applyNumberFormat="1" applyFont="1" applyBorder="1" applyAlignment="1">
      <alignment horizontal="center"/>
    </xf>
    <xf numFmtId="49" fontId="55" fillId="0" borderId="2" xfId="1" applyNumberFormat="1" applyFont="1" applyBorder="1" applyAlignment="1">
      <alignment horizontal="center"/>
    </xf>
    <xf numFmtId="0" fontId="55" fillId="0" borderId="3" xfId="0" applyFont="1" applyBorder="1"/>
    <xf numFmtId="165" fontId="55" fillId="0" borderId="4" xfId="1" applyNumberFormat="1" applyFont="1" applyBorder="1"/>
    <xf numFmtId="165" fontId="55" fillId="0" borderId="3" xfId="1" applyNumberFormat="1" applyFont="1" applyBorder="1"/>
    <xf numFmtId="9" fontId="0" fillId="0" borderId="3" xfId="0" applyNumberFormat="1" applyBorder="1"/>
    <xf numFmtId="10" fontId="0" fillId="0" borderId="3" xfId="0" applyNumberFormat="1" applyBorder="1"/>
    <xf numFmtId="0" fontId="0" fillId="0" borderId="3" xfId="0" applyBorder="1" applyAlignment="1">
      <alignment wrapText="1"/>
    </xf>
    <xf numFmtId="165" fontId="0" fillId="0" borderId="3" xfId="1" applyNumberFormat="1" applyFont="1" applyBorder="1" applyAlignment="1">
      <alignment vertical="top"/>
    </xf>
    <xf numFmtId="10" fontId="0" fillId="0" borderId="3" xfId="0" applyNumberFormat="1" applyBorder="1" applyAlignment="1">
      <alignment vertical="top"/>
    </xf>
    <xf numFmtId="0" fontId="57" fillId="0" borderId="0" xfId="0" applyFont="1"/>
    <xf numFmtId="165" fontId="57" fillId="0" borderId="0" xfId="0" applyNumberFormat="1" applyFont="1"/>
    <xf numFmtId="165" fontId="0" fillId="0" borderId="3" xfId="0" applyNumberFormat="1" applyBorder="1"/>
    <xf numFmtId="165" fontId="57" fillId="0" borderId="0" xfId="1" applyNumberFormat="1" applyFont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165" fontId="54" fillId="0" borderId="2" xfId="1" applyNumberFormat="1" applyFont="1" applyBorder="1" applyAlignment="1">
      <alignment vertical="center"/>
    </xf>
    <xf numFmtId="165" fontId="54" fillId="0" borderId="4" xfId="1" applyNumberFormat="1" applyFont="1" applyBorder="1" applyAlignment="1">
      <alignment vertical="center"/>
    </xf>
    <xf numFmtId="10" fontId="54" fillId="0" borderId="4" xfId="1" applyNumberFormat="1" applyFont="1" applyBorder="1" applyAlignment="1">
      <alignment vertical="center"/>
    </xf>
    <xf numFmtId="0" fontId="0" fillId="0" borderId="3" xfId="0" applyBorder="1" applyAlignment="1">
      <alignment vertical="top" wrapText="1"/>
    </xf>
    <xf numFmtId="10" fontId="54" fillId="0" borderId="2" xfId="1" applyNumberFormat="1" applyFont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7" fillId="0" borderId="0" xfId="3" applyNumberFormat="1" applyFont="1" applyFill="1" applyAlignment="1">
      <alignment horizontal="left" vertical="center" wrapText="1"/>
    </xf>
    <xf numFmtId="165" fontId="0" fillId="0" borderId="3" xfId="1" applyNumberFormat="1" applyFont="1" applyFill="1" applyBorder="1" applyAlignment="1">
      <alignment vertical="top"/>
    </xf>
    <xf numFmtId="0" fontId="56" fillId="0" borderId="3" xfId="0" applyFont="1" applyFill="1" applyBorder="1"/>
    <xf numFmtId="165" fontId="56" fillId="0" borderId="3" xfId="1" applyNumberFormat="1" applyFont="1" applyFill="1" applyBorder="1"/>
    <xf numFmtId="43" fontId="9" fillId="0" borderId="1" xfId="5" applyNumberFormat="1" applyFont="1" applyFill="1" applyBorder="1" applyAlignment="1">
      <alignment horizontal="center" vertical="center"/>
    </xf>
    <xf numFmtId="165" fontId="34" fillId="0" borderId="26" xfId="3" applyNumberFormat="1" applyFont="1" applyFill="1" applyBorder="1" applyAlignment="1">
      <alignment horizontal="center" vertical="center"/>
    </xf>
    <xf numFmtId="165" fontId="34" fillId="0" borderId="17" xfId="3" applyNumberFormat="1" applyFont="1" applyFill="1" applyBorder="1" applyAlignment="1">
      <alignment horizontal="center" vertical="center"/>
    </xf>
    <xf numFmtId="43" fontId="9" fillId="0" borderId="6" xfId="5" applyNumberFormat="1" applyFont="1" applyFill="1" applyBorder="1" applyAlignment="1">
      <alignment horizontal="center" vertical="center"/>
    </xf>
    <xf numFmtId="165" fontId="34" fillId="0" borderId="27" xfId="1" applyNumberFormat="1" applyFont="1" applyFill="1" applyBorder="1" applyAlignment="1">
      <alignment horizontal="center" vertical="center"/>
    </xf>
    <xf numFmtId="165" fontId="34" fillId="0" borderId="28" xfId="5" applyNumberFormat="1" applyFont="1" applyFill="1" applyBorder="1" applyAlignment="1">
      <alignment horizontal="center" vertical="center"/>
    </xf>
    <xf numFmtId="165" fontId="34" fillId="0" borderId="1" xfId="3" applyNumberFormat="1" applyFont="1" applyFill="1" applyBorder="1" applyAlignment="1">
      <alignment horizontal="center" vertical="center"/>
    </xf>
    <xf numFmtId="165" fontId="34" fillId="0" borderId="6" xfId="1" applyNumberFormat="1" applyFont="1" applyFill="1" applyBorder="1" applyAlignment="1">
      <alignment horizontal="center" vertical="center"/>
    </xf>
    <xf numFmtId="165" fontId="34" fillId="0" borderId="5" xfId="1" applyNumberFormat="1" applyFont="1" applyFill="1" applyBorder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/>
    </xf>
    <xf numFmtId="165" fontId="34" fillId="0" borderId="6" xfId="3" applyNumberFormat="1" applyFont="1" applyFill="1" applyBorder="1" applyAlignment="1">
      <alignment horizontal="center" vertical="center"/>
    </xf>
    <xf numFmtId="165" fontId="34" fillId="0" borderId="5" xfId="3" applyNumberFormat="1" applyFont="1" applyFill="1" applyBorder="1" applyAlignment="1">
      <alignment horizontal="center" vertical="center"/>
    </xf>
    <xf numFmtId="37" fontId="34" fillId="0" borderId="5" xfId="3" applyNumberFormat="1" applyFont="1" applyFill="1" applyBorder="1" applyAlignment="1">
      <alignment horizontal="center" vertical="center"/>
    </xf>
    <xf numFmtId="0" fontId="58" fillId="0" borderId="3" xfId="0" applyFont="1" applyBorder="1"/>
    <xf numFmtId="166" fontId="54" fillId="0" borderId="0" xfId="0" applyNumberFormat="1" applyFont="1"/>
    <xf numFmtId="37" fontId="11" fillId="4" borderId="0" xfId="9" applyNumberFormat="1" applyFont="1" applyFill="1"/>
    <xf numFmtId="165" fontId="10" fillId="0" borderId="0" xfId="3" applyNumberFormat="1" applyFont="1" applyFill="1" applyAlignment="1">
      <alignment horizontal="center" vertical="center"/>
    </xf>
    <xf numFmtId="49" fontId="5" fillId="0" borderId="0" xfId="3" applyNumberFormat="1" applyFont="1" applyFill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49" fontId="5" fillId="0" borderId="21" xfId="5" applyNumberFormat="1" applyFont="1" applyFill="1" applyBorder="1" applyAlignment="1">
      <alignment horizontal="center" vertical="center"/>
    </xf>
    <xf numFmtId="49" fontId="5" fillId="0" borderId="24" xfId="5" applyNumberFormat="1" applyFont="1" applyFill="1" applyBorder="1" applyAlignment="1">
      <alignment horizontal="center" vertical="center"/>
    </xf>
    <xf numFmtId="49" fontId="5" fillId="0" borderId="21" xfId="3" applyNumberFormat="1" applyFont="1" applyFill="1" applyBorder="1" applyAlignment="1">
      <alignment horizontal="center" vertical="center"/>
    </xf>
    <xf numFmtId="49" fontId="5" fillId="0" borderId="24" xfId="3" applyNumberFormat="1" applyFont="1" applyFill="1" applyBorder="1" applyAlignment="1">
      <alignment horizontal="center" vertical="center"/>
    </xf>
    <xf numFmtId="49" fontId="5" fillId="0" borderId="3" xfId="5" applyNumberFormat="1" applyFont="1" applyFill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49" fontId="54" fillId="0" borderId="3" xfId="1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49" fontId="55" fillId="0" borderId="21" xfId="1" applyNumberFormat="1" applyFont="1" applyBorder="1" applyAlignment="1">
      <alignment horizontal="center"/>
    </xf>
    <xf numFmtId="49" fontId="55" fillId="0" borderId="25" xfId="1" applyNumberFormat="1" applyFont="1" applyBorder="1" applyAlignment="1">
      <alignment horizontal="center"/>
    </xf>
    <xf numFmtId="49" fontId="55" fillId="0" borderId="24" xfId="1" applyNumberFormat="1" applyFont="1" applyBorder="1" applyAlignment="1">
      <alignment horizontal="center"/>
    </xf>
    <xf numFmtId="0" fontId="55" fillId="0" borderId="2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/>
    </xf>
    <xf numFmtId="49" fontId="5" fillId="0" borderId="3" xfId="3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165" fontId="7" fillId="0" borderId="19" xfId="5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0" fontId="12" fillId="0" borderId="0" xfId="9" applyFont="1" applyAlignment="1">
      <alignment horizontal="center"/>
    </xf>
    <xf numFmtId="0" fontId="16" fillId="0" borderId="9" xfId="9" applyNumberFormat="1" applyFont="1" applyFill="1" applyBorder="1" applyAlignment="1">
      <alignment horizontal="center" vertical="center" wrapText="1"/>
    </xf>
    <xf numFmtId="0" fontId="16" fillId="0" borderId="11" xfId="9" applyNumberFormat="1" applyFont="1" applyFill="1" applyBorder="1" applyAlignment="1">
      <alignment horizontal="center" vertical="center" wrapText="1"/>
    </xf>
    <xf numFmtId="0" fontId="16" fillId="0" borderId="13" xfId="9" applyNumberFormat="1" applyFont="1" applyFill="1" applyBorder="1" applyAlignment="1">
      <alignment horizontal="center" vertical="center" wrapText="1"/>
    </xf>
    <xf numFmtId="0" fontId="16" fillId="0" borderId="10" xfId="9" quotePrefix="1" applyNumberFormat="1" applyFont="1" applyFill="1" applyBorder="1" applyAlignment="1">
      <alignment horizontal="center" vertical="center" wrapText="1"/>
    </xf>
    <xf numFmtId="0" fontId="16" fillId="0" borderId="12" xfId="9" quotePrefix="1" applyNumberFormat="1" applyFont="1" applyFill="1" applyBorder="1" applyAlignment="1">
      <alignment horizontal="center" vertical="center" wrapText="1"/>
    </xf>
    <xf numFmtId="0" fontId="16" fillId="0" borderId="14" xfId="9" quotePrefix="1" applyNumberFormat="1" applyFont="1" applyFill="1" applyBorder="1" applyAlignment="1">
      <alignment horizontal="center" vertical="center" wrapText="1"/>
    </xf>
    <xf numFmtId="49" fontId="8" fillId="0" borderId="0" xfId="3" applyNumberFormat="1" applyFont="1" applyAlignment="1">
      <alignment horizontal="center" vertical="center"/>
    </xf>
    <xf numFmtId="165" fontId="38" fillId="0" borderId="0" xfId="3" applyNumberFormat="1" applyFont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center" vertical="center"/>
    </xf>
    <xf numFmtId="49" fontId="50" fillId="0" borderId="4" xfId="0" applyNumberFormat="1" applyFont="1" applyBorder="1" applyAlignment="1">
      <alignment horizontal="center" vertical="center"/>
    </xf>
    <xf numFmtId="49" fontId="50" fillId="8" borderId="0" xfId="1" applyNumberFormat="1" applyFont="1" applyFill="1" applyAlignment="1">
      <alignment horizontal="center" vertical="center"/>
    </xf>
    <xf numFmtId="49" fontId="50" fillId="9" borderId="0" xfId="1" applyNumberFormat="1" applyFont="1" applyFill="1" applyAlignment="1">
      <alignment horizontal="center" vertical="center"/>
    </xf>
    <xf numFmtId="49" fontId="50" fillId="10" borderId="0" xfId="1" applyNumberFormat="1" applyFont="1" applyFill="1" applyAlignment="1">
      <alignment horizontal="center" vertical="center"/>
    </xf>
    <xf numFmtId="49" fontId="50" fillId="11" borderId="0" xfId="1" applyNumberFormat="1" applyFont="1" applyFill="1" applyAlignment="1">
      <alignment horizontal="center" vertical="center"/>
    </xf>
    <xf numFmtId="49" fontId="50" fillId="12" borderId="0" xfId="1" applyNumberFormat="1" applyFont="1" applyFill="1" applyAlignment="1">
      <alignment horizontal="center" vertical="center"/>
    </xf>
    <xf numFmtId="49" fontId="50" fillId="7" borderId="0" xfId="1" applyNumberFormat="1" applyFont="1" applyFill="1" applyAlignment="1">
      <alignment horizontal="center" vertical="center"/>
    </xf>
    <xf numFmtId="49" fontId="50" fillId="2" borderId="3" xfId="1" applyNumberFormat="1" applyFont="1" applyFill="1" applyBorder="1" applyAlignment="1">
      <alignment horizontal="center" vertical="center"/>
    </xf>
    <xf numFmtId="49" fontId="50" fillId="3" borderId="3" xfId="1" applyNumberFormat="1" applyFont="1" applyFill="1" applyBorder="1" applyAlignment="1">
      <alignment horizontal="center" vertical="center"/>
    </xf>
    <xf numFmtId="49" fontId="50" fillId="4" borderId="3" xfId="1" applyNumberFormat="1" applyFont="1" applyFill="1" applyBorder="1" applyAlignment="1">
      <alignment horizontal="center" vertical="center"/>
    </xf>
    <xf numFmtId="49" fontId="50" fillId="5" borderId="3" xfId="1" applyNumberFormat="1" applyFont="1" applyFill="1" applyBorder="1" applyAlignment="1">
      <alignment horizontal="center" vertical="center"/>
    </xf>
    <xf numFmtId="49" fontId="50" fillId="6" borderId="3" xfId="1" applyNumberFormat="1" applyFont="1" applyFill="1" applyBorder="1" applyAlignment="1">
      <alignment horizontal="center" vertical="center"/>
    </xf>
    <xf numFmtId="165" fontId="9" fillId="0" borderId="12" xfId="5" applyNumberFormat="1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center" vertical="center"/>
    </xf>
  </cellXfs>
  <cellStyles count="10">
    <cellStyle name="Comma" xfId="1" builtinId="3"/>
    <cellStyle name="Comma [0] 2" xfId="7"/>
    <cellStyle name="Comma 2" xfId="5"/>
    <cellStyle name="Comma 3" xfId="6"/>
    <cellStyle name="Comma 4" xfId="8"/>
    <cellStyle name="Normal" xfId="0" builtinId="0"/>
    <cellStyle name="Normal 2" xfId="4"/>
    <cellStyle name="Normal 3" xfId="3"/>
    <cellStyle name="Normal 4" xfId="9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SIL%20PEMBAHASAN%20RPJMD%202013-2018%20BAB%20III\PROYEK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ROS~1\AppData\Local\Temp\SIMULASI%20PINJAMAN%20PI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win\d\1%20SEKSI%20PENGANGGARAN\APBD%20TAHUN%20KE%20TAHUN\2014\DATA-DATA\Proyeksi%20DA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DF"/>
      <sheetName val="IKK"/>
      <sheetName val="RASIO KEUANGAN"/>
      <sheetName val="pendp"/>
      <sheetName val="bln"/>
      <sheetName val="nrc"/>
      <sheetName val="RCN 2014 (3)"/>
      <sheetName val="BELANJA WAJIB"/>
      <sheetName val="Pro-Blj"/>
      <sheetName val="ap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K14">
            <v>25486000000</v>
          </cell>
          <cell r="L14">
            <v>26769671000</v>
          </cell>
          <cell r="M14">
            <v>27849314000</v>
          </cell>
          <cell r="N14">
            <v>30234958000</v>
          </cell>
          <cell r="O14">
            <v>31818635000</v>
          </cell>
        </row>
        <row r="29">
          <cell r="K29">
            <v>24845905000</v>
          </cell>
          <cell r="M29">
            <v>25391186000</v>
          </cell>
          <cell r="N29">
            <v>25752418000</v>
          </cell>
          <cell r="O29">
            <v>26097229250</v>
          </cell>
        </row>
        <row r="108">
          <cell r="K108">
            <v>9640000000</v>
          </cell>
          <cell r="M108">
            <v>12748899999.999998</v>
          </cell>
          <cell r="N108">
            <v>14661234999.999996</v>
          </cell>
          <cell r="O108">
            <v>16860417999.999996</v>
          </cell>
        </row>
        <row r="120">
          <cell r="K120">
            <v>41950500000</v>
          </cell>
          <cell r="M120">
            <v>61181760000</v>
          </cell>
          <cell r="N120">
            <v>44951503000</v>
          </cell>
          <cell r="O120">
            <v>46259339000</v>
          </cell>
        </row>
        <row r="148">
          <cell r="K148">
            <v>45642604000.302536</v>
          </cell>
          <cell r="M148">
            <v>54486500000</v>
          </cell>
          <cell r="N148">
            <v>55202500000</v>
          </cell>
          <cell r="O148">
            <v>56119500000</v>
          </cell>
        </row>
        <row r="159">
          <cell r="K159">
            <v>20607127000</v>
          </cell>
          <cell r="L159">
            <v>27500000000</v>
          </cell>
          <cell r="M159">
            <v>27500000000</v>
          </cell>
          <cell r="N159">
            <v>27500000000</v>
          </cell>
          <cell r="O159">
            <v>27500000000</v>
          </cell>
        </row>
        <row r="160">
          <cell r="L160">
            <v>765757349999.5481</v>
          </cell>
          <cell r="M160">
            <v>827424535000.47302</v>
          </cell>
          <cell r="N160">
            <v>897867435000.22534</v>
          </cell>
          <cell r="O160">
            <v>969614831999.69543</v>
          </cell>
        </row>
        <row r="163">
          <cell r="L163">
            <v>79403894000</v>
          </cell>
          <cell r="M163">
            <v>81156011000</v>
          </cell>
          <cell r="N163">
            <v>85960690999.869995</v>
          </cell>
          <cell r="O163">
            <v>87819511999.756104</v>
          </cell>
        </row>
        <row r="168">
          <cell r="K168">
            <v>616150000</v>
          </cell>
          <cell r="L168">
            <v>616150000</v>
          </cell>
          <cell r="M168">
            <v>0</v>
          </cell>
          <cell r="N168">
            <v>0</v>
          </cell>
          <cell r="O168">
            <v>0</v>
          </cell>
        </row>
        <row r="171">
          <cell r="K171">
            <v>43662000000</v>
          </cell>
        </row>
        <row r="172">
          <cell r="L172">
            <v>44815750000</v>
          </cell>
          <cell r="M172">
            <v>46000988999.999992</v>
          </cell>
          <cell r="N172">
            <v>47218765999.999985</v>
          </cell>
          <cell r="O172">
            <v>48470216999.999985</v>
          </cell>
        </row>
        <row r="184">
          <cell r="K184">
            <v>136253400000</v>
          </cell>
          <cell r="L184">
            <v>136253400000</v>
          </cell>
          <cell r="N184">
            <v>136253400000</v>
          </cell>
          <cell r="O184">
            <v>136253400000</v>
          </cell>
        </row>
        <row r="187">
          <cell r="K187">
            <v>39741100000</v>
          </cell>
          <cell r="M187">
            <v>42500000000</v>
          </cell>
          <cell r="N187">
            <v>42500000000</v>
          </cell>
          <cell r="O187">
            <v>42500000000</v>
          </cell>
        </row>
        <row r="188">
          <cell r="K188">
            <v>39741100000</v>
          </cell>
          <cell r="L188">
            <v>42500000000</v>
          </cell>
          <cell r="N188">
            <v>42500000000</v>
          </cell>
          <cell r="O188">
            <v>42500000000</v>
          </cell>
        </row>
        <row r="189">
          <cell r="L189">
            <v>42500000000</v>
          </cell>
          <cell r="M189">
            <v>42500000000</v>
          </cell>
        </row>
      </sheetData>
      <sheetData sheetId="7" refreshError="1">
        <row r="6">
          <cell r="E6">
            <v>518517500000</v>
          </cell>
          <cell r="F6">
            <v>561295193750</v>
          </cell>
          <cell r="G6">
            <v>607602047234.375</v>
          </cell>
          <cell r="H6">
            <v>659248221249.29687</v>
          </cell>
        </row>
        <row r="13">
          <cell r="E13">
            <v>696485900000</v>
          </cell>
          <cell r="F13">
            <v>739363594000</v>
          </cell>
          <cell r="G13">
            <v>785770447000.375</v>
          </cell>
          <cell r="H13">
            <v>837516621000.29687</v>
          </cell>
        </row>
      </sheetData>
      <sheetData sheetId="8" refreshError="1">
        <row r="7">
          <cell r="H7">
            <v>597730844785</v>
          </cell>
          <cell r="I7">
            <v>633897936446</v>
          </cell>
        </row>
        <row r="8">
          <cell r="H8">
            <v>1448750000</v>
          </cell>
          <cell r="I8">
            <v>2000000000</v>
          </cell>
        </row>
        <row r="9">
          <cell r="H9">
            <v>62801569520</v>
          </cell>
          <cell r="I9">
            <v>42790840000</v>
          </cell>
        </row>
        <row r="10">
          <cell r="H10">
            <v>30470227000</v>
          </cell>
          <cell r="I10">
            <v>24342680000</v>
          </cell>
        </row>
        <row r="11">
          <cell r="H11">
            <v>4329000000</v>
          </cell>
          <cell r="I11">
            <v>4504000000</v>
          </cell>
        </row>
        <row r="12">
          <cell r="H12">
            <v>47952896500</v>
          </cell>
          <cell r="I12">
            <v>41605119000</v>
          </cell>
        </row>
        <row r="13">
          <cell r="H13">
            <v>750000000</v>
          </cell>
          <cell r="I13">
            <v>500000000</v>
          </cell>
        </row>
        <row r="15">
          <cell r="H15">
            <v>39541189025</v>
          </cell>
        </row>
        <row r="16">
          <cell r="H16">
            <v>162157140735</v>
          </cell>
        </row>
        <row r="17">
          <cell r="H17">
            <v>228319862598</v>
          </cell>
          <cell r="I17">
            <v>227694027550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SCR"/>
      <sheetName val="7,75%"/>
      <sheetName val="Sheet2"/>
    </sheetNames>
    <sheetDataSet>
      <sheetData sheetId="0"/>
      <sheetData sheetId="1"/>
      <sheetData sheetId="2">
        <row r="56">
          <cell r="O56">
            <v>5304.8333333333358</v>
          </cell>
        </row>
        <row r="57">
          <cell r="O57">
            <v>4536</v>
          </cell>
        </row>
        <row r="58">
          <cell r="O58">
            <v>2808</v>
          </cell>
        </row>
        <row r="59">
          <cell r="O59">
            <v>1080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U DAN DAK"/>
      <sheetName val="PENDAMPINGAN"/>
    </sheetNames>
    <sheetDataSet>
      <sheetData sheetId="0">
        <row r="15">
          <cell r="I15">
            <v>765757350135.5481</v>
          </cell>
        </row>
        <row r="16">
          <cell r="I16">
            <v>827424534969.47302</v>
          </cell>
        </row>
        <row r="17">
          <cell r="I17">
            <v>897867434568.22534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N33"/>
  <sheetViews>
    <sheetView zoomScale="120" zoomScaleNormal="120" workbookViewId="0">
      <selection sqref="A1:H1"/>
    </sheetView>
  </sheetViews>
  <sheetFormatPr defaultColWidth="23.28515625" defaultRowHeight="20.100000000000001" customHeight="1"/>
  <cols>
    <col min="1" max="1" width="13.140625" style="10" customWidth="1"/>
    <col min="2" max="2" width="49.5703125" style="11" bestFit="1" customWidth="1"/>
    <col min="3" max="3" width="18.7109375" style="12" bestFit="1" customWidth="1"/>
    <col min="4" max="4" width="18.28515625" style="12" bestFit="1" customWidth="1"/>
    <col min="5" max="6" width="18.140625" style="13" bestFit="1" customWidth="1"/>
    <col min="7" max="7" width="17.42578125" style="13" bestFit="1" customWidth="1"/>
    <col min="8" max="8" width="13.140625" style="13" bestFit="1" customWidth="1"/>
    <col min="9" max="242" width="9.140625" style="13" customWidth="1"/>
    <col min="243" max="243" width="6" style="13" customWidth="1"/>
    <col min="244" max="244" width="50.28515625" style="13" customWidth="1"/>
    <col min="245" max="246" width="0" style="13" hidden="1" customWidth="1"/>
    <col min="247" max="247" width="20.7109375" style="13" customWidth="1"/>
    <col min="248" max="248" width="23.28515625" style="13" customWidth="1"/>
    <col min="249" max="258" width="23.28515625" style="9"/>
    <col min="259" max="259" width="13.140625" style="9" customWidth="1"/>
    <col min="260" max="260" width="58" style="9" customWidth="1"/>
    <col min="261" max="261" width="25" style="9" customWidth="1"/>
    <col min="262" max="262" width="20.7109375" style="9" customWidth="1"/>
    <col min="263" max="263" width="25" style="9" customWidth="1"/>
    <col min="264" max="498" width="9.140625" style="9" customWidth="1"/>
    <col min="499" max="499" width="6" style="9" customWidth="1"/>
    <col min="500" max="500" width="50.28515625" style="9" customWidth="1"/>
    <col min="501" max="502" width="0" style="9" hidden="1" customWidth="1"/>
    <col min="503" max="503" width="20.7109375" style="9" customWidth="1"/>
    <col min="504" max="504" width="23.28515625" style="9" customWidth="1"/>
    <col min="505" max="514" width="23.28515625" style="9"/>
    <col min="515" max="515" width="13.140625" style="9" customWidth="1"/>
    <col min="516" max="516" width="58" style="9" customWidth="1"/>
    <col min="517" max="517" width="25" style="9" customWidth="1"/>
    <col min="518" max="518" width="20.7109375" style="9" customWidth="1"/>
    <col min="519" max="519" width="25" style="9" customWidth="1"/>
    <col min="520" max="754" width="9.140625" style="9" customWidth="1"/>
    <col min="755" max="755" width="6" style="9" customWidth="1"/>
    <col min="756" max="756" width="50.28515625" style="9" customWidth="1"/>
    <col min="757" max="758" width="0" style="9" hidden="1" customWidth="1"/>
    <col min="759" max="759" width="20.7109375" style="9" customWidth="1"/>
    <col min="760" max="760" width="23.28515625" style="9" customWidth="1"/>
    <col min="761" max="770" width="23.28515625" style="9"/>
    <col min="771" max="771" width="13.140625" style="9" customWidth="1"/>
    <col min="772" max="772" width="58" style="9" customWidth="1"/>
    <col min="773" max="773" width="25" style="9" customWidth="1"/>
    <col min="774" max="774" width="20.7109375" style="9" customWidth="1"/>
    <col min="775" max="775" width="25" style="9" customWidth="1"/>
    <col min="776" max="1010" width="9.140625" style="9" customWidth="1"/>
    <col min="1011" max="1011" width="6" style="9" customWidth="1"/>
    <col min="1012" max="1012" width="50.28515625" style="9" customWidth="1"/>
    <col min="1013" max="1014" width="0" style="9" hidden="1" customWidth="1"/>
    <col min="1015" max="1015" width="20.7109375" style="9" customWidth="1"/>
    <col min="1016" max="1016" width="23.28515625" style="9" customWidth="1"/>
    <col min="1017" max="1026" width="23.28515625" style="9"/>
    <col min="1027" max="1027" width="13.140625" style="9" customWidth="1"/>
    <col min="1028" max="1028" width="58" style="9" customWidth="1"/>
    <col min="1029" max="1029" width="25" style="9" customWidth="1"/>
    <col min="1030" max="1030" width="20.7109375" style="9" customWidth="1"/>
    <col min="1031" max="1031" width="25" style="9" customWidth="1"/>
    <col min="1032" max="1266" width="9.140625" style="9" customWidth="1"/>
    <col min="1267" max="1267" width="6" style="9" customWidth="1"/>
    <col min="1268" max="1268" width="50.28515625" style="9" customWidth="1"/>
    <col min="1269" max="1270" width="0" style="9" hidden="1" customWidth="1"/>
    <col min="1271" max="1271" width="20.7109375" style="9" customWidth="1"/>
    <col min="1272" max="1272" width="23.28515625" style="9" customWidth="1"/>
    <col min="1273" max="1282" width="23.28515625" style="9"/>
    <col min="1283" max="1283" width="13.140625" style="9" customWidth="1"/>
    <col min="1284" max="1284" width="58" style="9" customWidth="1"/>
    <col min="1285" max="1285" width="25" style="9" customWidth="1"/>
    <col min="1286" max="1286" width="20.7109375" style="9" customWidth="1"/>
    <col min="1287" max="1287" width="25" style="9" customWidth="1"/>
    <col min="1288" max="1522" width="9.140625" style="9" customWidth="1"/>
    <col min="1523" max="1523" width="6" style="9" customWidth="1"/>
    <col min="1524" max="1524" width="50.28515625" style="9" customWidth="1"/>
    <col min="1525" max="1526" width="0" style="9" hidden="1" customWidth="1"/>
    <col min="1527" max="1527" width="20.7109375" style="9" customWidth="1"/>
    <col min="1528" max="1528" width="23.28515625" style="9" customWidth="1"/>
    <col min="1529" max="1538" width="23.28515625" style="9"/>
    <col min="1539" max="1539" width="13.140625" style="9" customWidth="1"/>
    <col min="1540" max="1540" width="58" style="9" customWidth="1"/>
    <col min="1541" max="1541" width="25" style="9" customWidth="1"/>
    <col min="1542" max="1542" width="20.7109375" style="9" customWidth="1"/>
    <col min="1543" max="1543" width="25" style="9" customWidth="1"/>
    <col min="1544" max="1778" width="9.140625" style="9" customWidth="1"/>
    <col min="1779" max="1779" width="6" style="9" customWidth="1"/>
    <col min="1780" max="1780" width="50.28515625" style="9" customWidth="1"/>
    <col min="1781" max="1782" width="0" style="9" hidden="1" customWidth="1"/>
    <col min="1783" max="1783" width="20.7109375" style="9" customWidth="1"/>
    <col min="1784" max="1784" width="23.28515625" style="9" customWidth="1"/>
    <col min="1785" max="1794" width="23.28515625" style="9"/>
    <col min="1795" max="1795" width="13.140625" style="9" customWidth="1"/>
    <col min="1796" max="1796" width="58" style="9" customWidth="1"/>
    <col min="1797" max="1797" width="25" style="9" customWidth="1"/>
    <col min="1798" max="1798" width="20.7109375" style="9" customWidth="1"/>
    <col min="1799" max="1799" width="25" style="9" customWidth="1"/>
    <col min="1800" max="2034" width="9.140625" style="9" customWidth="1"/>
    <col min="2035" max="2035" width="6" style="9" customWidth="1"/>
    <col min="2036" max="2036" width="50.28515625" style="9" customWidth="1"/>
    <col min="2037" max="2038" width="0" style="9" hidden="1" customWidth="1"/>
    <col min="2039" max="2039" width="20.7109375" style="9" customWidth="1"/>
    <col min="2040" max="2040" width="23.28515625" style="9" customWidth="1"/>
    <col min="2041" max="2050" width="23.28515625" style="9"/>
    <col min="2051" max="2051" width="13.140625" style="9" customWidth="1"/>
    <col min="2052" max="2052" width="58" style="9" customWidth="1"/>
    <col min="2053" max="2053" width="25" style="9" customWidth="1"/>
    <col min="2054" max="2054" width="20.7109375" style="9" customWidth="1"/>
    <col min="2055" max="2055" width="25" style="9" customWidth="1"/>
    <col min="2056" max="2290" width="9.140625" style="9" customWidth="1"/>
    <col min="2291" max="2291" width="6" style="9" customWidth="1"/>
    <col min="2292" max="2292" width="50.28515625" style="9" customWidth="1"/>
    <col min="2293" max="2294" width="0" style="9" hidden="1" customWidth="1"/>
    <col min="2295" max="2295" width="20.7109375" style="9" customWidth="1"/>
    <col min="2296" max="2296" width="23.28515625" style="9" customWidth="1"/>
    <col min="2297" max="2306" width="23.28515625" style="9"/>
    <col min="2307" max="2307" width="13.140625" style="9" customWidth="1"/>
    <col min="2308" max="2308" width="58" style="9" customWidth="1"/>
    <col min="2309" max="2309" width="25" style="9" customWidth="1"/>
    <col min="2310" max="2310" width="20.7109375" style="9" customWidth="1"/>
    <col min="2311" max="2311" width="25" style="9" customWidth="1"/>
    <col min="2312" max="2546" width="9.140625" style="9" customWidth="1"/>
    <col min="2547" max="2547" width="6" style="9" customWidth="1"/>
    <col min="2548" max="2548" width="50.28515625" style="9" customWidth="1"/>
    <col min="2549" max="2550" width="0" style="9" hidden="1" customWidth="1"/>
    <col min="2551" max="2551" width="20.7109375" style="9" customWidth="1"/>
    <col min="2552" max="2552" width="23.28515625" style="9" customWidth="1"/>
    <col min="2553" max="2562" width="23.28515625" style="9"/>
    <col min="2563" max="2563" width="13.140625" style="9" customWidth="1"/>
    <col min="2564" max="2564" width="58" style="9" customWidth="1"/>
    <col min="2565" max="2565" width="25" style="9" customWidth="1"/>
    <col min="2566" max="2566" width="20.7109375" style="9" customWidth="1"/>
    <col min="2567" max="2567" width="25" style="9" customWidth="1"/>
    <col min="2568" max="2802" width="9.140625" style="9" customWidth="1"/>
    <col min="2803" max="2803" width="6" style="9" customWidth="1"/>
    <col min="2804" max="2804" width="50.28515625" style="9" customWidth="1"/>
    <col min="2805" max="2806" width="0" style="9" hidden="1" customWidth="1"/>
    <col min="2807" max="2807" width="20.7109375" style="9" customWidth="1"/>
    <col min="2808" max="2808" width="23.28515625" style="9" customWidth="1"/>
    <col min="2809" max="2818" width="23.28515625" style="9"/>
    <col min="2819" max="2819" width="13.140625" style="9" customWidth="1"/>
    <col min="2820" max="2820" width="58" style="9" customWidth="1"/>
    <col min="2821" max="2821" width="25" style="9" customWidth="1"/>
    <col min="2822" max="2822" width="20.7109375" style="9" customWidth="1"/>
    <col min="2823" max="2823" width="25" style="9" customWidth="1"/>
    <col min="2824" max="3058" width="9.140625" style="9" customWidth="1"/>
    <col min="3059" max="3059" width="6" style="9" customWidth="1"/>
    <col min="3060" max="3060" width="50.28515625" style="9" customWidth="1"/>
    <col min="3061" max="3062" width="0" style="9" hidden="1" customWidth="1"/>
    <col min="3063" max="3063" width="20.7109375" style="9" customWidth="1"/>
    <col min="3064" max="3064" width="23.28515625" style="9" customWidth="1"/>
    <col min="3065" max="3074" width="23.28515625" style="9"/>
    <col min="3075" max="3075" width="13.140625" style="9" customWidth="1"/>
    <col min="3076" max="3076" width="58" style="9" customWidth="1"/>
    <col min="3077" max="3077" width="25" style="9" customWidth="1"/>
    <col min="3078" max="3078" width="20.7109375" style="9" customWidth="1"/>
    <col min="3079" max="3079" width="25" style="9" customWidth="1"/>
    <col min="3080" max="3314" width="9.140625" style="9" customWidth="1"/>
    <col min="3315" max="3315" width="6" style="9" customWidth="1"/>
    <col min="3316" max="3316" width="50.28515625" style="9" customWidth="1"/>
    <col min="3317" max="3318" width="0" style="9" hidden="1" customWidth="1"/>
    <col min="3319" max="3319" width="20.7109375" style="9" customWidth="1"/>
    <col min="3320" max="3320" width="23.28515625" style="9" customWidth="1"/>
    <col min="3321" max="3330" width="23.28515625" style="9"/>
    <col min="3331" max="3331" width="13.140625" style="9" customWidth="1"/>
    <col min="3332" max="3332" width="58" style="9" customWidth="1"/>
    <col min="3333" max="3333" width="25" style="9" customWidth="1"/>
    <col min="3334" max="3334" width="20.7109375" style="9" customWidth="1"/>
    <col min="3335" max="3335" width="25" style="9" customWidth="1"/>
    <col min="3336" max="3570" width="9.140625" style="9" customWidth="1"/>
    <col min="3571" max="3571" width="6" style="9" customWidth="1"/>
    <col min="3572" max="3572" width="50.28515625" style="9" customWidth="1"/>
    <col min="3573" max="3574" width="0" style="9" hidden="1" customWidth="1"/>
    <col min="3575" max="3575" width="20.7109375" style="9" customWidth="1"/>
    <col min="3576" max="3576" width="23.28515625" style="9" customWidth="1"/>
    <col min="3577" max="3586" width="23.28515625" style="9"/>
    <col min="3587" max="3587" width="13.140625" style="9" customWidth="1"/>
    <col min="3588" max="3588" width="58" style="9" customWidth="1"/>
    <col min="3589" max="3589" width="25" style="9" customWidth="1"/>
    <col min="3590" max="3590" width="20.7109375" style="9" customWidth="1"/>
    <col min="3591" max="3591" width="25" style="9" customWidth="1"/>
    <col min="3592" max="3826" width="9.140625" style="9" customWidth="1"/>
    <col min="3827" max="3827" width="6" style="9" customWidth="1"/>
    <col min="3828" max="3828" width="50.28515625" style="9" customWidth="1"/>
    <col min="3829" max="3830" width="0" style="9" hidden="1" customWidth="1"/>
    <col min="3831" max="3831" width="20.7109375" style="9" customWidth="1"/>
    <col min="3832" max="3832" width="23.28515625" style="9" customWidth="1"/>
    <col min="3833" max="3842" width="23.28515625" style="9"/>
    <col min="3843" max="3843" width="13.140625" style="9" customWidth="1"/>
    <col min="3844" max="3844" width="58" style="9" customWidth="1"/>
    <col min="3845" max="3845" width="25" style="9" customWidth="1"/>
    <col min="3846" max="3846" width="20.7109375" style="9" customWidth="1"/>
    <col min="3847" max="3847" width="25" style="9" customWidth="1"/>
    <col min="3848" max="4082" width="9.140625" style="9" customWidth="1"/>
    <col min="4083" max="4083" width="6" style="9" customWidth="1"/>
    <col min="4084" max="4084" width="50.28515625" style="9" customWidth="1"/>
    <col min="4085" max="4086" width="0" style="9" hidden="1" customWidth="1"/>
    <col min="4087" max="4087" width="20.7109375" style="9" customWidth="1"/>
    <col min="4088" max="4088" width="23.28515625" style="9" customWidth="1"/>
    <col min="4089" max="4098" width="23.28515625" style="9"/>
    <col min="4099" max="4099" width="13.140625" style="9" customWidth="1"/>
    <col min="4100" max="4100" width="58" style="9" customWidth="1"/>
    <col min="4101" max="4101" width="25" style="9" customWidth="1"/>
    <col min="4102" max="4102" width="20.7109375" style="9" customWidth="1"/>
    <col min="4103" max="4103" width="25" style="9" customWidth="1"/>
    <col min="4104" max="4338" width="9.140625" style="9" customWidth="1"/>
    <col min="4339" max="4339" width="6" style="9" customWidth="1"/>
    <col min="4340" max="4340" width="50.28515625" style="9" customWidth="1"/>
    <col min="4341" max="4342" width="0" style="9" hidden="1" customWidth="1"/>
    <col min="4343" max="4343" width="20.7109375" style="9" customWidth="1"/>
    <col min="4344" max="4344" width="23.28515625" style="9" customWidth="1"/>
    <col min="4345" max="4354" width="23.28515625" style="9"/>
    <col min="4355" max="4355" width="13.140625" style="9" customWidth="1"/>
    <col min="4356" max="4356" width="58" style="9" customWidth="1"/>
    <col min="4357" max="4357" width="25" style="9" customWidth="1"/>
    <col min="4358" max="4358" width="20.7109375" style="9" customWidth="1"/>
    <col min="4359" max="4359" width="25" style="9" customWidth="1"/>
    <col min="4360" max="4594" width="9.140625" style="9" customWidth="1"/>
    <col min="4595" max="4595" width="6" style="9" customWidth="1"/>
    <col min="4596" max="4596" width="50.28515625" style="9" customWidth="1"/>
    <col min="4597" max="4598" width="0" style="9" hidden="1" customWidth="1"/>
    <col min="4599" max="4599" width="20.7109375" style="9" customWidth="1"/>
    <col min="4600" max="4600" width="23.28515625" style="9" customWidth="1"/>
    <col min="4601" max="4610" width="23.28515625" style="9"/>
    <col min="4611" max="4611" width="13.140625" style="9" customWidth="1"/>
    <col min="4612" max="4612" width="58" style="9" customWidth="1"/>
    <col min="4613" max="4613" width="25" style="9" customWidth="1"/>
    <col min="4614" max="4614" width="20.7109375" style="9" customWidth="1"/>
    <col min="4615" max="4615" width="25" style="9" customWidth="1"/>
    <col min="4616" max="4850" width="9.140625" style="9" customWidth="1"/>
    <col min="4851" max="4851" width="6" style="9" customWidth="1"/>
    <col min="4852" max="4852" width="50.28515625" style="9" customWidth="1"/>
    <col min="4853" max="4854" width="0" style="9" hidden="1" customWidth="1"/>
    <col min="4855" max="4855" width="20.7109375" style="9" customWidth="1"/>
    <col min="4856" max="4856" width="23.28515625" style="9" customWidth="1"/>
    <col min="4857" max="4866" width="23.28515625" style="9"/>
    <col min="4867" max="4867" width="13.140625" style="9" customWidth="1"/>
    <col min="4868" max="4868" width="58" style="9" customWidth="1"/>
    <col min="4869" max="4869" width="25" style="9" customWidth="1"/>
    <col min="4870" max="4870" width="20.7109375" style="9" customWidth="1"/>
    <col min="4871" max="4871" width="25" style="9" customWidth="1"/>
    <col min="4872" max="5106" width="9.140625" style="9" customWidth="1"/>
    <col min="5107" max="5107" width="6" style="9" customWidth="1"/>
    <col min="5108" max="5108" width="50.28515625" style="9" customWidth="1"/>
    <col min="5109" max="5110" width="0" style="9" hidden="1" customWidth="1"/>
    <col min="5111" max="5111" width="20.7109375" style="9" customWidth="1"/>
    <col min="5112" max="5112" width="23.28515625" style="9" customWidth="1"/>
    <col min="5113" max="5122" width="23.28515625" style="9"/>
    <col min="5123" max="5123" width="13.140625" style="9" customWidth="1"/>
    <col min="5124" max="5124" width="58" style="9" customWidth="1"/>
    <col min="5125" max="5125" width="25" style="9" customWidth="1"/>
    <col min="5126" max="5126" width="20.7109375" style="9" customWidth="1"/>
    <col min="5127" max="5127" width="25" style="9" customWidth="1"/>
    <col min="5128" max="5362" width="9.140625" style="9" customWidth="1"/>
    <col min="5363" max="5363" width="6" style="9" customWidth="1"/>
    <col min="5364" max="5364" width="50.28515625" style="9" customWidth="1"/>
    <col min="5365" max="5366" width="0" style="9" hidden="1" customWidth="1"/>
    <col min="5367" max="5367" width="20.7109375" style="9" customWidth="1"/>
    <col min="5368" max="5368" width="23.28515625" style="9" customWidth="1"/>
    <col min="5369" max="5378" width="23.28515625" style="9"/>
    <col min="5379" max="5379" width="13.140625" style="9" customWidth="1"/>
    <col min="5380" max="5380" width="58" style="9" customWidth="1"/>
    <col min="5381" max="5381" width="25" style="9" customWidth="1"/>
    <col min="5382" max="5382" width="20.7109375" style="9" customWidth="1"/>
    <col min="5383" max="5383" width="25" style="9" customWidth="1"/>
    <col min="5384" max="5618" width="9.140625" style="9" customWidth="1"/>
    <col min="5619" max="5619" width="6" style="9" customWidth="1"/>
    <col min="5620" max="5620" width="50.28515625" style="9" customWidth="1"/>
    <col min="5621" max="5622" width="0" style="9" hidden="1" customWidth="1"/>
    <col min="5623" max="5623" width="20.7109375" style="9" customWidth="1"/>
    <col min="5624" max="5624" width="23.28515625" style="9" customWidth="1"/>
    <col min="5625" max="5634" width="23.28515625" style="9"/>
    <col min="5635" max="5635" width="13.140625" style="9" customWidth="1"/>
    <col min="5636" max="5636" width="58" style="9" customWidth="1"/>
    <col min="5637" max="5637" width="25" style="9" customWidth="1"/>
    <col min="5638" max="5638" width="20.7109375" style="9" customWidth="1"/>
    <col min="5639" max="5639" width="25" style="9" customWidth="1"/>
    <col min="5640" max="5874" width="9.140625" style="9" customWidth="1"/>
    <col min="5875" max="5875" width="6" style="9" customWidth="1"/>
    <col min="5876" max="5876" width="50.28515625" style="9" customWidth="1"/>
    <col min="5877" max="5878" width="0" style="9" hidden="1" customWidth="1"/>
    <col min="5879" max="5879" width="20.7109375" style="9" customWidth="1"/>
    <col min="5880" max="5880" width="23.28515625" style="9" customWidth="1"/>
    <col min="5881" max="5890" width="23.28515625" style="9"/>
    <col min="5891" max="5891" width="13.140625" style="9" customWidth="1"/>
    <col min="5892" max="5892" width="58" style="9" customWidth="1"/>
    <col min="5893" max="5893" width="25" style="9" customWidth="1"/>
    <col min="5894" max="5894" width="20.7109375" style="9" customWidth="1"/>
    <col min="5895" max="5895" width="25" style="9" customWidth="1"/>
    <col min="5896" max="6130" width="9.140625" style="9" customWidth="1"/>
    <col min="6131" max="6131" width="6" style="9" customWidth="1"/>
    <col min="6132" max="6132" width="50.28515625" style="9" customWidth="1"/>
    <col min="6133" max="6134" width="0" style="9" hidden="1" customWidth="1"/>
    <col min="6135" max="6135" width="20.7109375" style="9" customWidth="1"/>
    <col min="6136" max="6136" width="23.28515625" style="9" customWidth="1"/>
    <col min="6137" max="6146" width="23.28515625" style="9"/>
    <col min="6147" max="6147" width="13.140625" style="9" customWidth="1"/>
    <col min="6148" max="6148" width="58" style="9" customWidth="1"/>
    <col min="6149" max="6149" width="25" style="9" customWidth="1"/>
    <col min="6150" max="6150" width="20.7109375" style="9" customWidth="1"/>
    <col min="6151" max="6151" width="25" style="9" customWidth="1"/>
    <col min="6152" max="6386" width="9.140625" style="9" customWidth="1"/>
    <col min="6387" max="6387" width="6" style="9" customWidth="1"/>
    <col min="6388" max="6388" width="50.28515625" style="9" customWidth="1"/>
    <col min="6389" max="6390" width="0" style="9" hidden="1" customWidth="1"/>
    <col min="6391" max="6391" width="20.7109375" style="9" customWidth="1"/>
    <col min="6392" max="6392" width="23.28515625" style="9" customWidth="1"/>
    <col min="6393" max="6402" width="23.28515625" style="9"/>
    <col min="6403" max="6403" width="13.140625" style="9" customWidth="1"/>
    <col min="6404" max="6404" width="58" style="9" customWidth="1"/>
    <col min="6405" max="6405" width="25" style="9" customWidth="1"/>
    <col min="6406" max="6406" width="20.7109375" style="9" customWidth="1"/>
    <col min="6407" max="6407" width="25" style="9" customWidth="1"/>
    <col min="6408" max="6642" width="9.140625" style="9" customWidth="1"/>
    <col min="6643" max="6643" width="6" style="9" customWidth="1"/>
    <col min="6644" max="6644" width="50.28515625" style="9" customWidth="1"/>
    <col min="6645" max="6646" width="0" style="9" hidden="1" customWidth="1"/>
    <col min="6647" max="6647" width="20.7109375" style="9" customWidth="1"/>
    <col min="6648" max="6648" width="23.28515625" style="9" customWidth="1"/>
    <col min="6649" max="6658" width="23.28515625" style="9"/>
    <col min="6659" max="6659" width="13.140625" style="9" customWidth="1"/>
    <col min="6660" max="6660" width="58" style="9" customWidth="1"/>
    <col min="6661" max="6661" width="25" style="9" customWidth="1"/>
    <col min="6662" max="6662" width="20.7109375" style="9" customWidth="1"/>
    <col min="6663" max="6663" width="25" style="9" customWidth="1"/>
    <col min="6664" max="6898" width="9.140625" style="9" customWidth="1"/>
    <col min="6899" max="6899" width="6" style="9" customWidth="1"/>
    <col min="6900" max="6900" width="50.28515625" style="9" customWidth="1"/>
    <col min="6901" max="6902" width="0" style="9" hidden="1" customWidth="1"/>
    <col min="6903" max="6903" width="20.7109375" style="9" customWidth="1"/>
    <col min="6904" max="6904" width="23.28515625" style="9" customWidth="1"/>
    <col min="6905" max="6914" width="23.28515625" style="9"/>
    <col min="6915" max="6915" width="13.140625" style="9" customWidth="1"/>
    <col min="6916" max="6916" width="58" style="9" customWidth="1"/>
    <col min="6917" max="6917" width="25" style="9" customWidth="1"/>
    <col min="6918" max="6918" width="20.7109375" style="9" customWidth="1"/>
    <col min="6919" max="6919" width="25" style="9" customWidth="1"/>
    <col min="6920" max="7154" width="9.140625" style="9" customWidth="1"/>
    <col min="7155" max="7155" width="6" style="9" customWidth="1"/>
    <col min="7156" max="7156" width="50.28515625" style="9" customWidth="1"/>
    <col min="7157" max="7158" width="0" style="9" hidden="1" customWidth="1"/>
    <col min="7159" max="7159" width="20.7109375" style="9" customWidth="1"/>
    <col min="7160" max="7160" width="23.28515625" style="9" customWidth="1"/>
    <col min="7161" max="7170" width="23.28515625" style="9"/>
    <col min="7171" max="7171" width="13.140625" style="9" customWidth="1"/>
    <col min="7172" max="7172" width="58" style="9" customWidth="1"/>
    <col min="7173" max="7173" width="25" style="9" customWidth="1"/>
    <col min="7174" max="7174" width="20.7109375" style="9" customWidth="1"/>
    <col min="7175" max="7175" width="25" style="9" customWidth="1"/>
    <col min="7176" max="7410" width="9.140625" style="9" customWidth="1"/>
    <col min="7411" max="7411" width="6" style="9" customWidth="1"/>
    <col min="7412" max="7412" width="50.28515625" style="9" customWidth="1"/>
    <col min="7413" max="7414" width="0" style="9" hidden="1" customWidth="1"/>
    <col min="7415" max="7415" width="20.7109375" style="9" customWidth="1"/>
    <col min="7416" max="7416" width="23.28515625" style="9" customWidth="1"/>
    <col min="7417" max="7426" width="23.28515625" style="9"/>
    <col min="7427" max="7427" width="13.140625" style="9" customWidth="1"/>
    <col min="7428" max="7428" width="58" style="9" customWidth="1"/>
    <col min="7429" max="7429" width="25" style="9" customWidth="1"/>
    <col min="7430" max="7430" width="20.7109375" style="9" customWidth="1"/>
    <col min="7431" max="7431" width="25" style="9" customWidth="1"/>
    <col min="7432" max="7666" width="9.140625" style="9" customWidth="1"/>
    <col min="7667" max="7667" width="6" style="9" customWidth="1"/>
    <col min="7668" max="7668" width="50.28515625" style="9" customWidth="1"/>
    <col min="7669" max="7670" width="0" style="9" hidden="1" customWidth="1"/>
    <col min="7671" max="7671" width="20.7109375" style="9" customWidth="1"/>
    <col min="7672" max="7672" width="23.28515625" style="9" customWidth="1"/>
    <col min="7673" max="7682" width="23.28515625" style="9"/>
    <col min="7683" max="7683" width="13.140625" style="9" customWidth="1"/>
    <col min="7684" max="7684" width="58" style="9" customWidth="1"/>
    <col min="7685" max="7685" width="25" style="9" customWidth="1"/>
    <col min="7686" max="7686" width="20.7109375" style="9" customWidth="1"/>
    <col min="7687" max="7687" width="25" style="9" customWidth="1"/>
    <col min="7688" max="7922" width="9.140625" style="9" customWidth="1"/>
    <col min="7923" max="7923" width="6" style="9" customWidth="1"/>
    <col min="7924" max="7924" width="50.28515625" style="9" customWidth="1"/>
    <col min="7925" max="7926" width="0" style="9" hidden="1" customWidth="1"/>
    <col min="7927" max="7927" width="20.7109375" style="9" customWidth="1"/>
    <col min="7928" max="7928" width="23.28515625" style="9" customWidth="1"/>
    <col min="7929" max="7938" width="23.28515625" style="9"/>
    <col min="7939" max="7939" width="13.140625" style="9" customWidth="1"/>
    <col min="7940" max="7940" width="58" style="9" customWidth="1"/>
    <col min="7941" max="7941" width="25" style="9" customWidth="1"/>
    <col min="7942" max="7942" width="20.7109375" style="9" customWidth="1"/>
    <col min="7943" max="7943" width="25" style="9" customWidth="1"/>
    <col min="7944" max="8178" width="9.140625" style="9" customWidth="1"/>
    <col min="8179" max="8179" width="6" style="9" customWidth="1"/>
    <col min="8180" max="8180" width="50.28515625" style="9" customWidth="1"/>
    <col min="8181" max="8182" width="0" style="9" hidden="1" customWidth="1"/>
    <col min="8183" max="8183" width="20.7109375" style="9" customWidth="1"/>
    <col min="8184" max="8184" width="23.28515625" style="9" customWidth="1"/>
    <col min="8185" max="8194" width="23.28515625" style="9"/>
    <col min="8195" max="8195" width="13.140625" style="9" customWidth="1"/>
    <col min="8196" max="8196" width="58" style="9" customWidth="1"/>
    <col min="8197" max="8197" width="25" style="9" customWidth="1"/>
    <col min="8198" max="8198" width="20.7109375" style="9" customWidth="1"/>
    <col min="8199" max="8199" width="25" style="9" customWidth="1"/>
    <col min="8200" max="8434" width="9.140625" style="9" customWidth="1"/>
    <col min="8435" max="8435" width="6" style="9" customWidth="1"/>
    <col min="8436" max="8436" width="50.28515625" style="9" customWidth="1"/>
    <col min="8437" max="8438" width="0" style="9" hidden="1" customWidth="1"/>
    <col min="8439" max="8439" width="20.7109375" style="9" customWidth="1"/>
    <col min="8440" max="8440" width="23.28515625" style="9" customWidth="1"/>
    <col min="8441" max="8450" width="23.28515625" style="9"/>
    <col min="8451" max="8451" width="13.140625" style="9" customWidth="1"/>
    <col min="8452" max="8452" width="58" style="9" customWidth="1"/>
    <col min="8453" max="8453" width="25" style="9" customWidth="1"/>
    <col min="8454" max="8454" width="20.7109375" style="9" customWidth="1"/>
    <col min="8455" max="8455" width="25" style="9" customWidth="1"/>
    <col min="8456" max="8690" width="9.140625" style="9" customWidth="1"/>
    <col min="8691" max="8691" width="6" style="9" customWidth="1"/>
    <col min="8692" max="8692" width="50.28515625" style="9" customWidth="1"/>
    <col min="8693" max="8694" width="0" style="9" hidden="1" customWidth="1"/>
    <col min="8695" max="8695" width="20.7109375" style="9" customWidth="1"/>
    <col min="8696" max="8696" width="23.28515625" style="9" customWidth="1"/>
    <col min="8697" max="8706" width="23.28515625" style="9"/>
    <col min="8707" max="8707" width="13.140625" style="9" customWidth="1"/>
    <col min="8708" max="8708" width="58" style="9" customWidth="1"/>
    <col min="8709" max="8709" width="25" style="9" customWidth="1"/>
    <col min="8710" max="8710" width="20.7109375" style="9" customWidth="1"/>
    <col min="8711" max="8711" width="25" style="9" customWidth="1"/>
    <col min="8712" max="8946" width="9.140625" style="9" customWidth="1"/>
    <col min="8947" max="8947" width="6" style="9" customWidth="1"/>
    <col min="8948" max="8948" width="50.28515625" style="9" customWidth="1"/>
    <col min="8949" max="8950" width="0" style="9" hidden="1" customWidth="1"/>
    <col min="8951" max="8951" width="20.7109375" style="9" customWidth="1"/>
    <col min="8952" max="8952" width="23.28515625" style="9" customWidth="1"/>
    <col min="8953" max="8962" width="23.28515625" style="9"/>
    <col min="8963" max="8963" width="13.140625" style="9" customWidth="1"/>
    <col min="8964" max="8964" width="58" style="9" customWidth="1"/>
    <col min="8965" max="8965" width="25" style="9" customWidth="1"/>
    <col min="8966" max="8966" width="20.7109375" style="9" customWidth="1"/>
    <col min="8967" max="8967" width="25" style="9" customWidth="1"/>
    <col min="8968" max="9202" width="9.140625" style="9" customWidth="1"/>
    <col min="9203" max="9203" width="6" style="9" customWidth="1"/>
    <col min="9204" max="9204" width="50.28515625" style="9" customWidth="1"/>
    <col min="9205" max="9206" width="0" style="9" hidden="1" customWidth="1"/>
    <col min="9207" max="9207" width="20.7109375" style="9" customWidth="1"/>
    <col min="9208" max="9208" width="23.28515625" style="9" customWidth="1"/>
    <col min="9209" max="9218" width="23.28515625" style="9"/>
    <col min="9219" max="9219" width="13.140625" style="9" customWidth="1"/>
    <col min="9220" max="9220" width="58" style="9" customWidth="1"/>
    <col min="9221" max="9221" width="25" style="9" customWidth="1"/>
    <col min="9222" max="9222" width="20.7109375" style="9" customWidth="1"/>
    <col min="9223" max="9223" width="25" style="9" customWidth="1"/>
    <col min="9224" max="9458" width="9.140625" style="9" customWidth="1"/>
    <col min="9459" max="9459" width="6" style="9" customWidth="1"/>
    <col min="9460" max="9460" width="50.28515625" style="9" customWidth="1"/>
    <col min="9461" max="9462" width="0" style="9" hidden="1" customWidth="1"/>
    <col min="9463" max="9463" width="20.7109375" style="9" customWidth="1"/>
    <col min="9464" max="9464" width="23.28515625" style="9" customWidth="1"/>
    <col min="9465" max="9474" width="23.28515625" style="9"/>
    <col min="9475" max="9475" width="13.140625" style="9" customWidth="1"/>
    <col min="9476" max="9476" width="58" style="9" customWidth="1"/>
    <col min="9477" max="9477" width="25" style="9" customWidth="1"/>
    <col min="9478" max="9478" width="20.7109375" style="9" customWidth="1"/>
    <col min="9479" max="9479" width="25" style="9" customWidth="1"/>
    <col min="9480" max="9714" width="9.140625" style="9" customWidth="1"/>
    <col min="9715" max="9715" width="6" style="9" customWidth="1"/>
    <col min="9716" max="9716" width="50.28515625" style="9" customWidth="1"/>
    <col min="9717" max="9718" width="0" style="9" hidden="1" customWidth="1"/>
    <col min="9719" max="9719" width="20.7109375" style="9" customWidth="1"/>
    <col min="9720" max="9720" width="23.28515625" style="9" customWidth="1"/>
    <col min="9721" max="9730" width="23.28515625" style="9"/>
    <col min="9731" max="9731" width="13.140625" style="9" customWidth="1"/>
    <col min="9732" max="9732" width="58" style="9" customWidth="1"/>
    <col min="9733" max="9733" width="25" style="9" customWidth="1"/>
    <col min="9734" max="9734" width="20.7109375" style="9" customWidth="1"/>
    <col min="9735" max="9735" width="25" style="9" customWidth="1"/>
    <col min="9736" max="9970" width="9.140625" style="9" customWidth="1"/>
    <col min="9971" max="9971" width="6" style="9" customWidth="1"/>
    <col min="9972" max="9972" width="50.28515625" style="9" customWidth="1"/>
    <col min="9973" max="9974" width="0" style="9" hidden="1" customWidth="1"/>
    <col min="9975" max="9975" width="20.7109375" style="9" customWidth="1"/>
    <col min="9976" max="9976" width="23.28515625" style="9" customWidth="1"/>
    <col min="9977" max="9986" width="23.28515625" style="9"/>
    <col min="9987" max="9987" width="13.140625" style="9" customWidth="1"/>
    <col min="9988" max="9988" width="58" style="9" customWidth="1"/>
    <col min="9989" max="9989" width="25" style="9" customWidth="1"/>
    <col min="9990" max="9990" width="20.7109375" style="9" customWidth="1"/>
    <col min="9991" max="9991" width="25" style="9" customWidth="1"/>
    <col min="9992" max="10226" width="9.140625" style="9" customWidth="1"/>
    <col min="10227" max="10227" width="6" style="9" customWidth="1"/>
    <col min="10228" max="10228" width="50.28515625" style="9" customWidth="1"/>
    <col min="10229" max="10230" width="0" style="9" hidden="1" customWidth="1"/>
    <col min="10231" max="10231" width="20.7109375" style="9" customWidth="1"/>
    <col min="10232" max="10232" width="23.28515625" style="9" customWidth="1"/>
    <col min="10233" max="10242" width="23.28515625" style="9"/>
    <col min="10243" max="10243" width="13.140625" style="9" customWidth="1"/>
    <col min="10244" max="10244" width="58" style="9" customWidth="1"/>
    <col min="10245" max="10245" width="25" style="9" customWidth="1"/>
    <col min="10246" max="10246" width="20.7109375" style="9" customWidth="1"/>
    <col min="10247" max="10247" width="25" style="9" customWidth="1"/>
    <col min="10248" max="10482" width="9.140625" style="9" customWidth="1"/>
    <col min="10483" max="10483" width="6" style="9" customWidth="1"/>
    <col min="10484" max="10484" width="50.28515625" style="9" customWidth="1"/>
    <col min="10485" max="10486" width="0" style="9" hidden="1" customWidth="1"/>
    <col min="10487" max="10487" width="20.7109375" style="9" customWidth="1"/>
    <col min="10488" max="10488" width="23.28515625" style="9" customWidth="1"/>
    <col min="10489" max="10498" width="23.28515625" style="9"/>
    <col min="10499" max="10499" width="13.140625" style="9" customWidth="1"/>
    <col min="10500" max="10500" width="58" style="9" customWidth="1"/>
    <col min="10501" max="10501" width="25" style="9" customWidth="1"/>
    <col min="10502" max="10502" width="20.7109375" style="9" customWidth="1"/>
    <col min="10503" max="10503" width="25" style="9" customWidth="1"/>
    <col min="10504" max="10738" width="9.140625" style="9" customWidth="1"/>
    <col min="10739" max="10739" width="6" style="9" customWidth="1"/>
    <col min="10740" max="10740" width="50.28515625" style="9" customWidth="1"/>
    <col min="10741" max="10742" width="0" style="9" hidden="1" customWidth="1"/>
    <col min="10743" max="10743" width="20.7109375" style="9" customWidth="1"/>
    <col min="10744" max="10744" width="23.28515625" style="9" customWidth="1"/>
    <col min="10745" max="10754" width="23.28515625" style="9"/>
    <col min="10755" max="10755" width="13.140625" style="9" customWidth="1"/>
    <col min="10756" max="10756" width="58" style="9" customWidth="1"/>
    <col min="10757" max="10757" width="25" style="9" customWidth="1"/>
    <col min="10758" max="10758" width="20.7109375" style="9" customWidth="1"/>
    <col min="10759" max="10759" width="25" style="9" customWidth="1"/>
    <col min="10760" max="10994" width="9.140625" style="9" customWidth="1"/>
    <col min="10995" max="10995" width="6" style="9" customWidth="1"/>
    <col min="10996" max="10996" width="50.28515625" style="9" customWidth="1"/>
    <col min="10997" max="10998" width="0" style="9" hidden="1" customWidth="1"/>
    <col min="10999" max="10999" width="20.7109375" style="9" customWidth="1"/>
    <col min="11000" max="11000" width="23.28515625" style="9" customWidth="1"/>
    <col min="11001" max="11010" width="23.28515625" style="9"/>
    <col min="11011" max="11011" width="13.140625" style="9" customWidth="1"/>
    <col min="11012" max="11012" width="58" style="9" customWidth="1"/>
    <col min="11013" max="11013" width="25" style="9" customWidth="1"/>
    <col min="11014" max="11014" width="20.7109375" style="9" customWidth="1"/>
    <col min="11015" max="11015" width="25" style="9" customWidth="1"/>
    <col min="11016" max="11250" width="9.140625" style="9" customWidth="1"/>
    <col min="11251" max="11251" width="6" style="9" customWidth="1"/>
    <col min="11252" max="11252" width="50.28515625" style="9" customWidth="1"/>
    <col min="11253" max="11254" width="0" style="9" hidden="1" customWidth="1"/>
    <col min="11255" max="11255" width="20.7109375" style="9" customWidth="1"/>
    <col min="11256" max="11256" width="23.28515625" style="9" customWidth="1"/>
    <col min="11257" max="11266" width="23.28515625" style="9"/>
    <col min="11267" max="11267" width="13.140625" style="9" customWidth="1"/>
    <col min="11268" max="11268" width="58" style="9" customWidth="1"/>
    <col min="11269" max="11269" width="25" style="9" customWidth="1"/>
    <col min="11270" max="11270" width="20.7109375" style="9" customWidth="1"/>
    <col min="11271" max="11271" width="25" style="9" customWidth="1"/>
    <col min="11272" max="11506" width="9.140625" style="9" customWidth="1"/>
    <col min="11507" max="11507" width="6" style="9" customWidth="1"/>
    <col min="11508" max="11508" width="50.28515625" style="9" customWidth="1"/>
    <col min="11509" max="11510" width="0" style="9" hidden="1" customWidth="1"/>
    <col min="11511" max="11511" width="20.7109375" style="9" customWidth="1"/>
    <col min="11512" max="11512" width="23.28515625" style="9" customWidth="1"/>
    <col min="11513" max="11522" width="23.28515625" style="9"/>
    <col min="11523" max="11523" width="13.140625" style="9" customWidth="1"/>
    <col min="11524" max="11524" width="58" style="9" customWidth="1"/>
    <col min="11525" max="11525" width="25" style="9" customWidth="1"/>
    <col min="11526" max="11526" width="20.7109375" style="9" customWidth="1"/>
    <col min="11527" max="11527" width="25" style="9" customWidth="1"/>
    <col min="11528" max="11762" width="9.140625" style="9" customWidth="1"/>
    <col min="11763" max="11763" width="6" style="9" customWidth="1"/>
    <col min="11764" max="11764" width="50.28515625" style="9" customWidth="1"/>
    <col min="11765" max="11766" width="0" style="9" hidden="1" customWidth="1"/>
    <col min="11767" max="11767" width="20.7109375" style="9" customWidth="1"/>
    <col min="11768" max="11768" width="23.28515625" style="9" customWidth="1"/>
    <col min="11769" max="11778" width="23.28515625" style="9"/>
    <col min="11779" max="11779" width="13.140625" style="9" customWidth="1"/>
    <col min="11780" max="11780" width="58" style="9" customWidth="1"/>
    <col min="11781" max="11781" width="25" style="9" customWidth="1"/>
    <col min="11782" max="11782" width="20.7109375" style="9" customWidth="1"/>
    <col min="11783" max="11783" width="25" style="9" customWidth="1"/>
    <col min="11784" max="12018" width="9.140625" style="9" customWidth="1"/>
    <col min="12019" max="12019" width="6" style="9" customWidth="1"/>
    <col min="12020" max="12020" width="50.28515625" style="9" customWidth="1"/>
    <col min="12021" max="12022" width="0" style="9" hidden="1" customWidth="1"/>
    <col min="12023" max="12023" width="20.7109375" style="9" customWidth="1"/>
    <col min="12024" max="12024" width="23.28515625" style="9" customWidth="1"/>
    <col min="12025" max="12034" width="23.28515625" style="9"/>
    <col min="12035" max="12035" width="13.140625" style="9" customWidth="1"/>
    <col min="12036" max="12036" width="58" style="9" customWidth="1"/>
    <col min="12037" max="12037" width="25" style="9" customWidth="1"/>
    <col min="12038" max="12038" width="20.7109375" style="9" customWidth="1"/>
    <col min="12039" max="12039" width="25" style="9" customWidth="1"/>
    <col min="12040" max="12274" width="9.140625" style="9" customWidth="1"/>
    <col min="12275" max="12275" width="6" style="9" customWidth="1"/>
    <col min="12276" max="12276" width="50.28515625" style="9" customWidth="1"/>
    <col min="12277" max="12278" width="0" style="9" hidden="1" customWidth="1"/>
    <col min="12279" max="12279" width="20.7109375" style="9" customWidth="1"/>
    <col min="12280" max="12280" width="23.28515625" style="9" customWidth="1"/>
    <col min="12281" max="12290" width="23.28515625" style="9"/>
    <col min="12291" max="12291" width="13.140625" style="9" customWidth="1"/>
    <col min="12292" max="12292" width="58" style="9" customWidth="1"/>
    <col min="12293" max="12293" width="25" style="9" customWidth="1"/>
    <col min="12294" max="12294" width="20.7109375" style="9" customWidth="1"/>
    <col min="12295" max="12295" width="25" style="9" customWidth="1"/>
    <col min="12296" max="12530" width="9.140625" style="9" customWidth="1"/>
    <col min="12531" max="12531" width="6" style="9" customWidth="1"/>
    <col min="12532" max="12532" width="50.28515625" style="9" customWidth="1"/>
    <col min="12533" max="12534" width="0" style="9" hidden="1" customWidth="1"/>
    <col min="12535" max="12535" width="20.7109375" style="9" customWidth="1"/>
    <col min="12536" max="12536" width="23.28515625" style="9" customWidth="1"/>
    <col min="12537" max="12546" width="23.28515625" style="9"/>
    <col min="12547" max="12547" width="13.140625" style="9" customWidth="1"/>
    <col min="12548" max="12548" width="58" style="9" customWidth="1"/>
    <col min="12549" max="12549" width="25" style="9" customWidth="1"/>
    <col min="12550" max="12550" width="20.7109375" style="9" customWidth="1"/>
    <col min="12551" max="12551" width="25" style="9" customWidth="1"/>
    <col min="12552" max="12786" width="9.140625" style="9" customWidth="1"/>
    <col min="12787" max="12787" width="6" style="9" customWidth="1"/>
    <col min="12788" max="12788" width="50.28515625" style="9" customWidth="1"/>
    <col min="12789" max="12790" width="0" style="9" hidden="1" customWidth="1"/>
    <col min="12791" max="12791" width="20.7109375" style="9" customWidth="1"/>
    <col min="12792" max="12792" width="23.28515625" style="9" customWidth="1"/>
    <col min="12793" max="12802" width="23.28515625" style="9"/>
    <col min="12803" max="12803" width="13.140625" style="9" customWidth="1"/>
    <col min="12804" max="12804" width="58" style="9" customWidth="1"/>
    <col min="12805" max="12805" width="25" style="9" customWidth="1"/>
    <col min="12806" max="12806" width="20.7109375" style="9" customWidth="1"/>
    <col min="12807" max="12807" width="25" style="9" customWidth="1"/>
    <col min="12808" max="13042" width="9.140625" style="9" customWidth="1"/>
    <col min="13043" max="13043" width="6" style="9" customWidth="1"/>
    <col min="13044" max="13044" width="50.28515625" style="9" customWidth="1"/>
    <col min="13045" max="13046" width="0" style="9" hidden="1" customWidth="1"/>
    <col min="13047" max="13047" width="20.7109375" style="9" customWidth="1"/>
    <col min="13048" max="13048" width="23.28515625" style="9" customWidth="1"/>
    <col min="13049" max="13058" width="23.28515625" style="9"/>
    <col min="13059" max="13059" width="13.140625" style="9" customWidth="1"/>
    <col min="13060" max="13060" width="58" style="9" customWidth="1"/>
    <col min="13061" max="13061" width="25" style="9" customWidth="1"/>
    <col min="13062" max="13062" width="20.7109375" style="9" customWidth="1"/>
    <col min="13063" max="13063" width="25" style="9" customWidth="1"/>
    <col min="13064" max="13298" width="9.140625" style="9" customWidth="1"/>
    <col min="13299" max="13299" width="6" style="9" customWidth="1"/>
    <col min="13300" max="13300" width="50.28515625" style="9" customWidth="1"/>
    <col min="13301" max="13302" width="0" style="9" hidden="1" customWidth="1"/>
    <col min="13303" max="13303" width="20.7109375" style="9" customWidth="1"/>
    <col min="13304" max="13304" width="23.28515625" style="9" customWidth="1"/>
    <col min="13305" max="13314" width="23.28515625" style="9"/>
    <col min="13315" max="13315" width="13.140625" style="9" customWidth="1"/>
    <col min="13316" max="13316" width="58" style="9" customWidth="1"/>
    <col min="13317" max="13317" width="25" style="9" customWidth="1"/>
    <col min="13318" max="13318" width="20.7109375" style="9" customWidth="1"/>
    <col min="13319" max="13319" width="25" style="9" customWidth="1"/>
    <col min="13320" max="13554" width="9.140625" style="9" customWidth="1"/>
    <col min="13555" max="13555" width="6" style="9" customWidth="1"/>
    <col min="13556" max="13556" width="50.28515625" style="9" customWidth="1"/>
    <col min="13557" max="13558" width="0" style="9" hidden="1" customWidth="1"/>
    <col min="13559" max="13559" width="20.7109375" style="9" customWidth="1"/>
    <col min="13560" max="13560" width="23.28515625" style="9" customWidth="1"/>
    <col min="13561" max="13570" width="23.28515625" style="9"/>
    <col min="13571" max="13571" width="13.140625" style="9" customWidth="1"/>
    <col min="13572" max="13572" width="58" style="9" customWidth="1"/>
    <col min="13573" max="13573" width="25" style="9" customWidth="1"/>
    <col min="13574" max="13574" width="20.7109375" style="9" customWidth="1"/>
    <col min="13575" max="13575" width="25" style="9" customWidth="1"/>
    <col min="13576" max="13810" width="9.140625" style="9" customWidth="1"/>
    <col min="13811" max="13811" width="6" style="9" customWidth="1"/>
    <col min="13812" max="13812" width="50.28515625" style="9" customWidth="1"/>
    <col min="13813" max="13814" width="0" style="9" hidden="1" customWidth="1"/>
    <col min="13815" max="13815" width="20.7109375" style="9" customWidth="1"/>
    <col min="13816" max="13816" width="23.28515625" style="9" customWidth="1"/>
    <col min="13817" max="13826" width="23.28515625" style="9"/>
    <col min="13827" max="13827" width="13.140625" style="9" customWidth="1"/>
    <col min="13828" max="13828" width="58" style="9" customWidth="1"/>
    <col min="13829" max="13829" width="25" style="9" customWidth="1"/>
    <col min="13830" max="13830" width="20.7109375" style="9" customWidth="1"/>
    <col min="13831" max="13831" width="25" style="9" customWidth="1"/>
    <col min="13832" max="14066" width="9.140625" style="9" customWidth="1"/>
    <col min="14067" max="14067" width="6" style="9" customWidth="1"/>
    <col min="14068" max="14068" width="50.28515625" style="9" customWidth="1"/>
    <col min="14069" max="14070" width="0" style="9" hidden="1" customWidth="1"/>
    <col min="14071" max="14071" width="20.7109375" style="9" customWidth="1"/>
    <col min="14072" max="14072" width="23.28515625" style="9" customWidth="1"/>
    <col min="14073" max="14082" width="23.28515625" style="9"/>
    <col min="14083" max="14083" width="13.140625" style="9" customWidth="1"/>
    <col min="14084" max="14084" width="58" style="9" customWidth="1"/>
    <col min="14085" max="14085" width="25" style="9" customWidth="1"/>
    <col min="14086" max="14086" width="20.7109375" style="9" customWidth="1"/>
    <col min="14087" max="14087" width="25" style="9" customWidth="1"/>
    <col min="14088" max="14322" width="9.140625" style="9" customWidth="1"/>
    <col min="14323" max="14323" width="6" style="9" customWidth="1"/>
    <col min="14324" max="14324" width="50.28515625" style="9" customWidth="1"/>
    <col min="14325" max="14326" width="0" style="9" hidden="1" customWidth="1"/>
    <col min="14327" max="14327" width="20.7109375" style="9" customWidth="1"/>
    <col min="14328" max="14328" width="23.28515625" style="9" customWidth="1"/>
    <col min="14329" max="14338" width="23.28515625" style="9"/>
    <col min="14339" max="14339" width="13.140625" style="9" customWidth="1"/>
    <col min="14340" max="14340" width="58" style="9" customWidth="1"/>
    <col min="14341" max="14341" width="25" style="9" customWidth="1"/>
    <col min="14342" max="14342" width="20.7109375" style="9" customWidth="1"/>
    <col min="14343" max="14343" width="25" style="9" customWidth="1"/>
    <col min="14344" max="14578" width="9.140625" style="9" customWidth="1"/>
    <col min="14579" max="14579" width="6" style="9" customWidth="1"/>
    <col min="14580" max="14580" width="50.28515625" style="9" customWidth="1"/>
    <col min="14581" max="14582" width="0" style="9" hidden="1" customWidth="1"/>
    <col min="14583" max="14583" width="20.7109375" style="9" customWidth="1"/>
    <col min="14584" max="14584" width="23.28515625" style="9" customWidth="1"/>
    <col min="14585" max="14594" width="23.28515625" style="9"/>
    <col min="14595" max="14595" width="13.140625" style="9" customWidth="1"/>
    <col min="14596" max="14596" width="58" style="9" customWidth="1"/>
    <col min="14597" max="14597" width="25" style="9" customWidth="1"/>
    <col min="14598" max="14598" width="20.7109375" style="9" customWidth="1"/>
    <col min="14599" max="14599" width="25" style="9" customWidth="1"/>
    <col min="14600" max="14834" width="9.140625" style="9" customWidth="1"/>
    <col min="14835" max="14835" width="6" style="9" customWidth="1"/>
    <col min="14836" max="14836" width="50.28515625" style="9" customWidth="1"/>
    <col min="14837" max="14838" width="0" style="9" hidden="1" customWidth="1"/>
    <col min="14839" max="14839" width="20.7109375" style="9" customWidth="1"/>
    <col min="14840" max="14840" width="23.28515625" style="9" customWidth="1"/>
    <col min="14841" max="14850" width="23.28515625" style="9"/>
    <col min="14851" max="14851" width="13.140625" style="9" customWidth="1"/>
    <col min="14852" max="14852" width="58" style="9" customWidth="1"/>
    <col min="14853" max="14853" width="25" style="9" customWidth="1"/>
    <col min="14854" max="14854" width="20.7109375" style="9" customWidth="1"/>
    <col min="14855" max="14855" width="25" style="9" customWidth="1"/>
    <col min="14856" max="15090" width="9.140625" style="9" customWidth="1"/>
    <col min="15091" max="15091" width="6" style="9" customWidth="1"/>
    <col min="15092" max="15092" width="50.28515625" style="9" customWidth="1"/>
    <col min="15093" max="15094" width="0" style="9" hidden="1" customWidth="1"/>
    <col min="15095" max="15095" width="20.7109375" style="9" customWidth="1"/>
    <col min="15096" max="15096" width="23.28515625" style="9" customWidth="1"/>
    <col min="15097" max="15106" width="23.28515625" style="9"/>
    <col min="15107" max="15107" width="13.140625" style="9" customWidth="1"/>
    <col min="15108" max="15108" width="58" style="9" customWidth="1"/>
    <col min="15109" max="15109" width="25" style="9" customWidth="1"/>
    <col min="15110" max="15110" width="20.7109375" style="9" customWidth="1"/>
    <col min="15111" max="15111" width="25" style="9" customWidth="1"/>
    <col min="15112" max="15346" width="9.140625" style="9" customWidth="1"/>
    <col min="15347" max="15347" width="6" style="9" customWidth="1"/>
    <col min="15348" max="15348" width="50.28515625" style="9" customWidth="1"/>
    <col min="15349" max="15350" width="0" style="9" hidden="1" customWidth="1"/>
    <col min="15351" max="15351" width="20.7109375" style="9" customWidth="1"/>
    <col min="15352" max="15352" width="23.28515625" style="9" customWidth="1"/>
    <col min="15353" max="15362" width="23.28515625" style="9"/>
    <col min="15363" max="15363" width="13.140625" style="9" customWidth="1"/>
    <col min="15364" max="15364" width="58" style="9" customWidth="1"/>
    <col min="15365" max="15365" width="25" style="9" customWidth="1"/>
    <col min="15366" max="15366" width="20.7109375" style="9" customWidth="1"/>
    <col min="15367" max="15367" width="25" style="9" customWidth="1"/>
    <col min="15368" max="15602" width="9.140625" style="9" customWidth="1"/>
    <col min="15603" max="15603" width="6" style="9" customWidth="1"/>
    <col min="15604" max="15604" width="50.28515625" style="9" customWidth="1"/>
    <col min="15605" max="15606" width="0" style="9" hidden="1" customWidth="1"/>
    <col min="15607" max="15607" width="20.7109375" style="9" customWidth="1"/>
    <col min="15608" max="15608" width="23.28515625" style="9" customWidth="1"/>
    <col min="15609" max="15618" width="23.28515625" style="9"/>
    <col min="15619" max="15619" width="13.140625" style="9" customWidth="1"/>
    <col min="15620" max="15620" width="58" style="9" customWidth="1"/>
    <col min="15621" max="15621" width="25" style="9" customWidth="1"/>
    <col min="15622" max="15622" width="20.7109375" style="9" customWidth="1"/>
    <col min="15623" max="15623" width="25" style="9" customWidth="1"/>
    <col min="15624" max="15858" width="9.140625" style="9" customWidth="1"/>
    <col min="15859" max="15859" width="6" style="9" customWidth="1"/>
    <col min="15860" max="15860" width="50.28515625" style="9" customWidth="1"/>
    <col min="15861" max="15862" width="0" style="9" hidden="1" customWidth="1"/>
    <col min="15863" max="15863" width="20.7109375" style="9" customWidth="1"/>
    <col min="15864" max="15864" width="23.28515625" style="9" customWidth="1"/>
    <col min="15865" max="15874" width="23.28515625" style="9"/>
    <col min="15875" max="15875" width="13.140625" style="9" customWidth="1"/>
    <col min="15876" max="15876" width="58" style="9" customWidth="1"/>
    <col min="15877" max="15877" width="25" style="9" customWidth="1"/>
    <col min="15878" max="15878" width="20.7109375" style="9" customWidth="1"/>
    <col min="15879" max="15879" width="25" style="9" customWidth="1"/>
    <col min="15880" max="16114" width="9.140625" style="9" customWidth="1"/>
    <col min="16115" max="16115" width="6" style="9" customWidth="1"/>
    <col min="16116" max="16116" width="50.28515625" style="9" customWidth="1"/>
    <col min="16117" max="16118" width="0" style="9" hidden="1" customWidth="1"/>
    <col min="16119" max="16119" width="20.7109375" style="9" customWidth="1"/>
    <col min="16120" max="16120" width="23.28515625" style="9" customWidth="1"/>
    <col min="16121" max="16130" width="23.28515625" style="9"/>
    <col min="16131" max="16131" width="13.140625" style="9" customWidth="1"/>
    <col min="16132" max="16132" width="58" style="9" customWidth="1"/>
    <col min="16133" max="16133" width="25" style="9" customWidth="1"/>
    <col min="16134" max="16134" width="20.7109375" style="9" customWidth="1"/>
    <col min="16135" max="16135" width="25" style="9" customWidth="1"/>
    <col min="16136" max="16370" width="9.140625" style="9" customWidth="1"/>
    <col min="16371" max="16371" width="6" style="9" customWidth="1"/>
    <col min="16372" max="16372" width="50.28515625" style="9" customWidth="1"/>
    <col min="16373" max="16374" width="0" style="9" hidden="1" customWidth="1"/>
    <col min="16375" max="16375" width="20.7109375" style="9" customWidth="1"/>
    <col min="16376" max="16376" width="23.28515625" style="9" customWidth="1"/>
    <col min="16377" max="16384" width="23.28515625" style="9"/>
  </cols>
  <sheetData>
    <row r="1" spans="1:248" ht="15.75">
      <c r="A1" s="512" t="s">
        <v>510</v>
      </c>
      <c r="B1" s="512"/>
      <c r="C1" s="512"/>
      <c r="D1" s="512"/>
      <c r="E1" s="512"/>
      <c r="F1" s="512"/>
      <c r="G1" s="512"/>
      <c r="H1" s="51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ht="15.75">
      <c r="A2" s="512" t="s">
        <v>511</v>
      </c>
      <c r="B2" s="512"/>
      <c r="C2" s="512"/>
      <c r="D2" s="512"/>
      <c r="E2" s="512"/>
      <c r="F2" s="512"/>
      <c r="G2" s="512"/>
      <c r="H2" s="51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8" ht="15.75">
      <c r="A3" s="512" t="s">
        <v>512</v>
      </c>
      <c r="B3" s="512"/>
      <c r="C3" s="512"/>
      <c r="D3" s="512"/>
      <c r="E3" s="512"/>
      <c r="F3" s="512"/>
      <c r="G3" s="512"/>
      <c r="H3" s="51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</row>
    <row r="4" spans="1:248" ht="15.75"/>
    <row r="5" spans="1:248" ht="32.25" customHeight="1">
      <c r="A5" s="14" t="s">
        <v>106</v>
      </c>
      <c r="B5" s="15" t="s">
        <v>107</v>
      </c>
      <c r="C5" s="16">
        <v>2008</v>
      </c>
      <c r="D5" s="16">
        <v>2009</v>
      </c>
      <c r="E5" s="17">
        <v>2010</v>
      </c>
      <c r="F5" s="17">
        <v>2011</v>
      </c>
      <c r="G5" s="17">
        <v>2012</v>
      </c>
      <c r="H5" s="18" t="s">
        <v>108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ht="15.75">
      <c r="A6" s="19" t="s">
        <v>109</v>
      </c>
      <c r="B6" s="20" t="s">
        <v>110</v>
      </c>
      <c r="C6" s="21">
        <f>C7+C12+C16</f>
        <v>576614217128</v>
      </c>
      <c r="D6" s="21">
        <f t="shared" ref="D6:G6" si="0">D7+D12+D16</f>
        <v>623122779590</v>
      </c>
      <c r="E6" s="21">
        <f t="shared" si="0"/>
        <v>675659734845</v>
      </c>
      <c r="F6" s="21">
        <f t="shared" si="0"/>
        <v>823479890034</v>
      </c>
      <c r="G6" s="21">
        <f t="shared" si="0"/>
        <v>966815573681</v>
      </c>
      <c r="H6" s="17">
        <v>13.94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ht="15.75">
      <c r="A7" s="19" t="s">
        <v>111</v>
      </c>
      <c r="B7" s="20" t="s">
        <v>112</v>
      </c>
      <c r="C7" s="22">
        <f>SUM(C8:C11)</f>
        <v>37923898939</v>
      </c>
      <c r="D7" s="22">
        <f t="shared" ref="D7:G7" si="1">SUM(D8:D11)</f>
        <v>47327328141</v>
      </c>
      <c r="E7" s="22">
        <f t="shared" si="1"/>
        <v>55211017361</v>
      </c>
      <c r="F7" s="22">
        <f t="shared" si="1"/>
        <v>63343494510</v>
      </c>
      <c r="G7" s="22">
        <f t="shared" si="1"/>
        <v>78514689212</v>
      </c>
      <c r="H7" s="17">
        <v>20.03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</row>
    <row r="8" spans="1:248" ht="15.75">
      <c r="A8" s="23" t="s">
        <v>113</v>
      </c>
      <c r="B8" s="24" t="s">
        <v>114</v>
      </c>
      <c r="C8" s="25">
        <v>5819499860</v>
      </c>
      <c r="D8" s="25">
        <v>6194993566</v>
      </c>
      <c r="E8" s="26">
        <v>7389439664</v>
      </c>
      <c r="F8" s="26">
        <v>11212597968</v>
      </c>
      <c r="G8" s="25">
        <v>11470230704</v>
      </c>
      <c r="H8" s="27">
        <v>19.940000000000001</v>
      </c>
    </row>
    <row r="9" spans="1:248" ht="15.75">
      <c r="A9" s="28" t="s">
        <v>115</v>
      </c>
      <c r="B9" s="29" t="s">
        <v>116</v>
      </c>
      <c r="C9" s="30">
        <v>20067480541</v>
      </c>
      <c r="D9" s="30">
        <v>25974545346</v>
      </c>
      <c r="E9" s="31">
        <v>33365149779</v>
      </c>
      <c r="F9" s="31">
        <v>37984477775</v>
      </c>
      <c r="G9" s="30">
        <v>14038793022</v>
      </c>
      <c r="H9" s="32">
        <v>2.17</v>
      </c>
    </row>
    <row r="10" spans="1:248" ht="15.75">
      <c r="A10" s="28" t="s">
        <v>117</v>
      </c>
      <c r="B10" s="29" t="s">
        <v>118</v>
      </c>
      <c r="C10" s="30">
        <v>3082405844</v>
      </c>
      <c r="D10" s="30">
        <v>3878614576</v>
      </c>
      <c r="E10" s="31">
        <v>5402385086</v>
      </c>
      <c r="F10" s="31">
        <v>6682535195</v>
      </c>
      <c r="G10" s="30">
        <v>9555591771</v>
      </c>
      <c r="H10" s="32">
        <v>32.950000000000003</v>
      </c>
    </row>
    <row r="11" spans="1:248" ht="15.75">
      <c r="A11" s="33" t="s">
        <v>119</v>
      </c>
      <c r="B11" s="34" t="s">
        <v>120</v>
      </c>
      <c r="C11" s="35">
        <v>8954512694</v>
      </c>
      <c r="D11" s="35">
        <v>11279174653</v>
      </c>
      <c r="E11" s="36">
        <v>9054042832</v>
      </c>
      <c r="F11" s="36">
        <v>7463883572</v>
      </c>
      <c r="G11" s="35">
        <v>43450073715</v>
      </c>
      <c r="H11" s="37">
        <v>117.7</v>
      </c>
    </row>
    <row r="12" spans="1:248" ht="15.75">
      <c r="A12" s="19" t="s">
        <v>121</v>
      </c>
      <c r="B12" s="20" t="s">
        <v>122</v>
      </c>
      <c r="C12" s="21">
        <f>SUM(C13:C15)</f>
        <v>497563580868</v>
      </c>
      <c r="D12" s="21">
        <f t="shared" ref="D12:G12" si="2">SUM(D13:D15)</f>
        <v>515228881135</v>
      </c>
      <c r="E12" s="38">
        <f t="shared" si="2"/>
        <v>522185893892</v>
      </c>
      <c r="F12" s="21">
        <f t="shared" si="2"/>
        <v>574917319097</v>
      </c>
      <c r="G12" s="21">
        <f t="shared" si="2"/>
        <v>707239144911</v>
      </c>
      <c r="H12" s="39">
        <v>9.5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</row>
    <row r="13" spans="1:248" ht="15.75">
      <c r="A13" s="23" t="s">
        <v>123</v>
      </c>
      <c r="B13" s="24" t="s">
        <v>124</v>
      </c>
      <c r="C13" s="25">
        <v>28359251868</v>
      </c>
      <c r="D13" s="25">
        <v>33774574135</v>
      </c>
      <c r="E13" s="26">
        <v>37300870892</v>
      </c>
      <c r="F13" s="26">
        <v>34945207097</v>
      </c>
      <c r="G13" s="25">
        <v>35777146911</v>
      </c>
      <c r="H13" s="40">
        <v>6.4</v>
      </c>
    </row>
    <row r="14" spans="1:248" ht="15.75">
      <c r="A14" s="28" t="s">
        <v>125</v>
      </c>
      <c r="B14" s="29" t="s">
        <v>126</v>
      </c>
      <c r="C14" s="30">
        <v>421056329000</v>
      </c>
      <c r="D14" s="30">
        <v>430269307000</v>
      </c>
      <c r="E14" s="31">
        <v>438090923000</v>
      </c>
      <c r="F14" s="31">
        <v>482937812000</v>
      </c>
      <c r="G14" s="30">
        <v>584158278000</v>
      </c>
      <c r="H14" s="41">
        <v>8.8000000000000007</v>
      </c>
    </row>
    <row r="15" spans="1:248" ht="15.75">
      <c r="A15" s="33" t="s">
        <v>127</v>
      </c>
      <c r="B15" s="34" t="s">
        <v>128</v>
      </c>
      <c r="C15" s="35">
        <v>48148000000</v>
      </c>
      <c r="D15" s="35">
        <v>51185000000</v>
      </c>
      <c r="E15" s="36">
        <v>46794100000</v>
      </c>
      <c r="F15" s="36">
        <v>57034300000</v>
      </c>
      <c r="G15" s="35">
        <v>87303720000</v>
      </c>
      <c r="H15" s="42">
        <v>18.170000000000002</v>
      </c>
    </row>
    <row r="16" spans="1:248" ht="15.75">
      <c r="A16" s="19" t="s">
        <v>129</v>
      </c>
      <c r="B16" s="20" t="s">
        <v>130</v>
      </c>
      <c r="C16" s="21">
        <f>SUM(C17:C20)</f>
        <v>41126737321</v>
      </c>
      <c r="D16" s="21">
        <f t="shared" ref="D16:G16" si="3">SUM(D17:D20)</f>
        <v>60566570314</v>
      </c>
      <c r="E16" s="38">
        <f t="shared" si="3"/>
        <v>98262823592</v>
      </c>
      <c r="F16" s="21">
        <f t="shared" si="3"/>
        <v>185219076427</v>
      </c>
      <c r="G16" s="21">
        <f t="shared" si="3"/>
        <v>181061739558</v>
      </c>
      <c r="H16" s="39">
        <v>48.94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8" ht="15.75">
      <c r="A17" s="23" t="s">
        <v>131</v>
      </c>
      <c r="B17" s="24" t="s">
        <v>132</v>
      </c>
      <c r="C17" s="25">
        <v>486231000</v>
      </c>
      <c r="D17" s="26">
        <v>3450101848</v>
      </c>
      <c r="E17" s="26">
        <v>2807704666</v>
      </c>
      <c r="F17" s="26">
        <v>696060800</v>
      </c>
      <c r="G17" s="25">
        <v>145820000</v>
      </c>
      <c r="H17" s="40">
        <v>109.17</v>
      </c>
    </row>
    <row r="18" spans="1:8" ht="15.75">
      <c r="A18" s="28" t="s">
        <v>133</v>
      </c>
      <c r="B18" s="29" t="s">
        <v>134</v>
      </c>
      <c r="C18" s="30">
        <v>20870379396</v>
      </c>
      <c r="D18" s="31">
        <v>33186737016</v>
      </c>
      <c r="E18" s="31">
        <v>37428136126</v>
      </c>
      <c r="F18" s="31">
        <v>43614720307</v>
      </c>
      <c r="G18" s="30">
        <v>60284458558</v>
      </c>
      <c r="H18" s="41">
        <v>31.64</v>
      </c>
    </row>
    <row r="19" spans="1:8" ht="15.75">
      <c r="A19" s="28" t="s">
        <v>135</v>
      </c>
      <c r="B19" s="29" t="s">
        <v>136</v>
      </c>
      <c r="C19" s="30">
        <v>6026638800</v>
      </c>
      <c r="D19" s="31">
        <v>12207750000</v>
      </c>
      <c r="E19" s="31">
        <v>42742778800</v>
      </c>
      <c r="F19" s="31">
        <v>122342105320</v>
      </c>
      <c r="G19" s="30">
        <v>99581821000</v>
      </c>
      <c r="H19" s="41">
        <v>130.08000000000001</v>
      </c>
    </row>
    <row r="20" spans="1:8" ht="15.75">
      <c r="A20" s="33" t="s">
        <v>137</v>
      </c>
      <c r="B20" s="34" t="s">
        <v>138</v>
      </c>
      <c r="C20" s="35">
        <v>13743488125</v>
      </c>
      <c r="D20" s="36">
        <v>11721981450</v>
      </c>
      <c r="E20" s="36">
        <v>15284204000</v>
      </c>
      <c r="F20" s="36">
        <v>18566190000</v>
      </c>
      <c r="G20" s="35">
        <v>21049640000</v>
      </c>
      <c r="H20" s="42">
        <v>12.63</v>
      </c>
    </row>
    <row r="21" spans="1:8" ht="15.75">
      <c r="A21" s="43"/>
      <c r="B21" s="44"/>
    </row>
    <row r="22" spans="1:8" s="13" customFormat="1" ht="20.100000000000001" customHeight="1">
      <c r="A22" s="10"/>
      <c r="B22" s="11"/>
      <c r="C22" s="12"/>
      <c r="D22" s="12"/>
      <c r="G22" s="45">
        <v>20000000</v>
      </c>
    </row>
    <row r="23" spans="1:8" s="13" customFormat="1" ht="20.100000000000001" customHeight="1">
      <c r="A23" s="10"/>
      <c r="B23" s="11"/>
      <c r="C23" s="12"/>
      <c r="D23" s="12"/>
      <c r="G23" s="45">
        <v>17500000</v>
      </c>
    </row>
    <row r="24" spans="1:8" s="13" customFormat="1" ht="20.100000000000001" customHeight="1">
      <c r="A24" s="10"/>
      <c r="B24" s="11"/>
      <c r="C24" s="12"/>
      <c r="D24" s="12"/>
      <c r="E24" s="46"/>
      <c r="F24" s="46"/>
      <c r="G24" s="47"/>
    </row>
    <row r="25" spans="1:8" s="13" customFormat="1" ht="20.100000000000001" customHeight="1">
      <c r="A25" s="10"/>
      <c r="B25" s="11"/>
      <c r="C25" s="48"/>
      <c r="D25" s="48"/>
      <c r="E25" s="47"/>
      <c r="F25" s="47"/>
      <c r="G25" s="45">
        <v>20000000</v>
      </c>
    </row>
    <row r="26" spans="1:8" s="13" customFormat="1" ht="20.100000000000001" customHeight="1">
      <c r="A26" s="10"/>
      <c r="B26" s="11"/>
      <c r="C26" s="48"/>
      <c r="D26" s="48"/>
      <c r="E26" s="47"/>
      <c r="F26" s="47"/>
      <c r="G26" s="45">
        <v>15000000</v>
      </c>
    </row>
    <row r="27" spans="1:8" s="13" customFormat="1" ht="20.100000000000001" customHeight="1">
      <c r="A27" s="10"/>
      <c r="B27" s="11"/>
      <c r="C27" s="48" t="s">
        <v>139</v>
      </c>
      <c r="D27" s="48"/>
      <c r="E27" s="47"/>
      <c r="F27" s="47"/>
      <c r="G27" s="45">
        <v>25000000</v>
      </c>
    </row>
    <row r="28" spans="1:8" s="13" customFormat="1" ht="20.100000000000001" customHeight="1">
      <c r="A28" s="10"/>
      <c r="B28" s="11"/>
      <c r="C28" s="48"/>
      <c r="D28" s="48"/>
      <c r="E28" s="45"/>
      <c r="F28" s="45"/>
      <c r="G28" s="47"/>
    </row>
    <row r="29" spans="1:8" s="13" customFormat="1" ht="20.100000000000001" customHeight="1">
      <c r="A29" s="10"/>
      <c r="B29" s="11"/>
      <c r="C29" s="48"/>
      <c r="D29" s="48"/>
      <c r="E29" s="45">
        <f>SUM(E22:E28)</f>
        <v>0</v>
      </c>
      <c r="F29" s="45"/>
      <c r="G29" s="45">
        <f>SUM(G22:G28)</f>
        <v>97500000</v>
      </c>
    </row>
    <row r="30" spans="1:8" s="13" customFormat="1" ht="20.100000000000001" customHeight="1">
      <c r="A30" s="10"/>
      <c r="B30" s="11"/>
      <c r="C30" s="48"/>
      <c r="D30" s="48"/>
      <c r="E30" s="47"/>
      <c r="F30" s="47"/>
      <c r="G30" s="47"/>
    </row>
    <row r="31" spans="1:8" s="13" customFormat="1" ht="20.100000000000001" customHeight="1">
      <c r="A31" s="10"/>
      <c r="B31" s="11"/>
      <c r="C31" s="48"/>
      <c r="D31" s="48"/>
      <c r="E31" s="511">
        <f>G29+E29</f>
        <v>97500000</v>
      </c>
      <c r="F31" s="511"/>
      <c r="G31" s="511"/>
    </row>
    <row r="32" spans="1:8" s="13" customFormat="1" ht="20.100000000000001" customHeight="1">
      <c r="A32" s="10"/>
      <c r="B32" s="11"/>
      <c r="C32" s="48"/>
      <c r="D32" s="48"/>
      <c r="E32" s="47"/>
      <c r="F32" s="47"/>
      <c r="G32" s="47"/>
    </row>
    <row r="33" spans="1:7" s="13" customFormat="1" ht="20.100000000000001" customHeight="1">
      <c r="A33" s="10"/>
      <c r="B33" s="11"/>
      <c r="C33" s="48"/>
      <c r="D33" s="48"/>
      <c r="E33" s="47"/>
      <c r="F33" s="47"/>
      <c r="G33" s="47"/>
    </row>
  </sheetData>
  <mergeCells count="4">
    <mergeCell ref="E31:G31"/>
    <mergeCell ref="A1:H1"/>
    <mergeCell ref="A2:H2"/>
    <mergeCell ref="A3:H3"/>
  </mergeCells>
  <pageMargins left="0.82" right="0.24" top="0.75" bottom="0.75" header="0.3" footer="0.3"/>
  <pageSetup paperSize="258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S29"/>
  <sheetViews>
    <sheetView workbookViewId="0">
      <selection activeCell="A5" sqref="A5:L18"/>
    </sheetView>
  </sheetViews>
  <sheetFormatPr defaultColWidth="23.28515625" defaultRowHeight="20.100000000000001" customHeight="1"/>
  <cols>
    <col min="1" max="1" width="13.140625" style="51" customWidth="1"/>
    <col min="2" max="2" width="54.42578125" style="52" bestFit="1" customWidth="1"/>
    <col min="3" max="3" width="20.7109375" style="53" bestFit="1" customWidth="1"/>
    <col min="4" max="4" width="10.5703125" style="53" bestFit="1" customWidth="1"/>
    <col min="5" max="5" width="20.7109375" style="53" bestFit="1" customWidth="1"/>
    <col min="6" max="6" width="10.5703125" style="53" bestFit="1" customWidth="1"/>
    <col min="7" max="7" width="20.7109375" style="54" customWidth="1"/>
    <col min="8" max="8" width="10.5703125" style="54" bestFit="1" customWidth="1"/>
    <col min="9" max="9" width="20.7109375" style="54" customWidth="1"/>
    <col min="10" max="10" width="10.5703125" style="54" bestFit="1" customWidth="1"/>
    <col min="11" max="11" width="20.7109375" style="54" bestFit="1" customWidth="1"/>
    <col min="12" max="12" width="10.5703125" style="54" bestFit="1" customWidth="1"/>
    <col min="13" max="247" width="9.140625" style="54" customWidth="1"/>
    <col min="248" max="248" width="6" style="54" customWidth="1"/>
    <col min="249" max="249" width="50.28515625" style="54" customWidth="1"/>
    <col min="250" max="251" width="0" style="54" hidden="1" customWidth="1"/>
    <col min="252" max="252" width="20.7109375" style="54" customWidth="1"/>
    <col min="253" max="253" width="23.28515625" style="54" customWidth="1"/>
    <col min="254" max="263" width="23.28515625" style="50"/>
    <col min="264" max="264" width="13.140625" style="50" customWidth="1"/>
    <col min="265" max="265" width="58" style="50" customWidth="1"/>
    <col min="266" max="266" width="25" style="50" customWidth="1"/>
    <col min="267" max="267" width="20.7109375" style="50" customWidth="1"/>
    <col min="268" max="268" width="25" style="50" customWidth="1"/>
    <col min="269" max="503" width="9.140625" style="50" customWidth="1"/>
    <col min="504" max="504" width="6" style="50" customWidth="1"/>
    <col min="505" max="505" width="50.28515625" style="50" customWidth="1"/>
    <col min="506" max="507" width="0" style="50" hidden="1" customWidth="1"/>
    <col min="508" max="508" width="20.7109375" style="50" customWidth="1"/>
    <col min="509" max="509" width="23.28515625" style="50" customWidth="1"/>
    <col min="510" max="519" width="23.28515625" style="50"/>
    <col min="520" max="520" width="13.140625" style="50" customWidth="1"/>
    <col min="521" max="521" width="58" style="50" customWidth="1"/>
    <col min="522" max="522" width="25" style="50" customWidth="1"/>
    <col min="523" max="523" width="20.7109375" style="50" customWidth="1"/>
    <col min="524" max="524" width="25" style="50" customWidth="1"/>
    <col min="525" max="759" width="9.140625" style="50" customWidth="1"/>
    <col min="760" max="760" width="6" style="50" customWidth="1"/>
    <col min="761" max="761" width="50.28515625" style="50" customWidth="1"/>
    <col min="762" max="763" width="0" style="50" hidden="1" customWidth="1"/>
    <col min="764" max="764" width="20.7109375" style="50" customWidth="1"/>
    <col min="765" max="765" width="23.28515625" style="50" customWidth="1"/>
    <col min="766" max="775" width="23.28515625" style="50"/>
    <col min="776" max="776" width="13.140625" style="50" customWidth="1"/>
    <col min="777" max="777" width="58" style="50" customWidth="1"/>
    <col min="778" max="778" width="25" style="50" customWidth="1"/>
    <col min="779" max="779" width="20.7109375" style="50" customWidth="1"/>
    <col min="780" max="780" width="25" style="50" customWidth="1"/>
    <col min="781" max="1015" width="9.140625" style="50" customWidth="1"/>
    <col min="1016" max="1016" width="6" style="50" customWidth="1"/>
    <col min="1017" max="1017" width="50.28515625" style="50" customWidth="1"/>
    <col min="1018" max="1019" width="0" style="50" hidden="1" customWidth="1"/>
    <col min="1020" max="1020" width="20.7109375" style="50" customWidth="1"/>
    <col min="1021" max="1021" width="23.28515625" style="50" customWidth="1"/>
    <col min="1022" max="1031" width="23.28515625" style="50"/>
    <col min="1032" max="1032" width="13.140625" style="50" customWidth="1"/>
    <col min="1033" max="1033" width="58" style="50" customWidth="1"/>
    <col min="1034" max="1034" width="25" style="50" customWidth="1"/>
    <col min="1035" max="1035" width="20.7109375" style="50" customWidth="1"/>
    <col min="1036" max="1036" width="25" style="50" customWidth="1"/>
    <col min="1037" max="1271" width="9.140625" style="50" customWidth="1"/>
    <col min="1272" max="1272" width="6" style="50" customWidth="1"/>
    <col min="1273" max="1273" width="50.28515625" style="50" customWidth="1"/>
    <col min="1274" max="1275" width="0" style="50" hidden="1" customWidth="1"/>
    <col min="1276" max="1276" width="20.7109375" style="50" customWidth="1"/>
    <col min="1277" max="1277" width="23.28515625" style="50" customWidth="1"/>
    <col min="1278" max="1287" width="23.28515625" style="50"/>
    <col min="1288" max="1288" width="13.140625" style="50" customWidth="1"/>
    <col min="1289" max="1289" width="58" style="50" customWidth="1"/>
    <col min="1290" max="1290" width="25" style="50" customWidth="1"/>
    <col min="1291" max="1291" width="20.7109375" style="50" customWidth="1"/>
    <col min="1292" max="1292" width="25" style="50" customWidth="1"/>
    <col min="1293" max="1527" width="9.140625" style="50" customWidth="1"/>
    <col min="1528" max="1528" width="6" style="50" customWidth="1"/>
    <col min="1529" max="1529" width="50.28515625" style="50" customWidth="1"/>
    <col min="1530" max="1531" width="0" style="50" hidden="1" customWidth="1"/>
    <col min="1532" max="1532" width="20.7109375" style="50" customWidth="1"/>
    <col min="1533" max="1533" width="23.28515625" style="50" customWidth="1"/>
    <col min="1534" max="1543" width="23.28515625" style="50"/>
    <col min="1544" max="1544" width="13.140625" style="50" customWidth="1"/>
    <col min="1545" max="1545" width="58" style="50" customWidth="1"/>
    <col min="1546" max="1546" width="25" style="50" customWidth="1"/>
    <col min="1547" max="1547" width="20.7109375" style="50" customWidth="1"/>
    <col min="1548" max="1548" width="25" style="50" customWidth="1"/>
    <col min="1549" max="1783" width="9.140625" style="50" customWidth="1"/>
    <col min="1784" max="1784" width="6" style="50" customWidth="1"/>
    <col min="1785" max="1785" width="50.28515625" style="50" customWidth="1"/>
    <col min="1786" max="1787" width="0" style="50" hidden="1" customWidth="1"/>
    <col min="1788" max="1788" width="20.7109375" style="50" customWidth="1"/>
    <col min="1789" max="1789" width="23.28515625" style="50" customWidth="1"/>
    <col min="1790" max="1799" width="23.28515625" style="50"/>
    <col min="1800" max="1800" width="13.140625" style="50" customWidth="1"/>
    <col min="1801" max="1801" width="58" style="50" customWidth="1"/>
    <col min="1802" max="1802" width="25" style="50" customWidth="1"/>
    <col min="1803" max="1803" width="20.7109375" style="50" customWidth="1"/>
    <col min="1804" max="1804" width="25" style="50" customWidth="1"/>
    <col min="1805" max="2039" width="9.140625" style="50" customWidth="1"/>
    <col min="2040" max="2040" width="6" style="50" customWidth="1"/>
    <col min="2041" max="2041" width="50.28515625" style="50" customWidth="1"/>
    <col min="2042" max="2043" width="0" style="50" hidden="1" customWidth="1"/>
    <col min="2044" max="2044" width="20.7109375" style="50" customWidth="1"/>
    <col min="2045" max="2045" width="23.28515625" style="50" customWidth="1"/>
    <col min="2046" max="2055" width="23.28515625" style="50"/>
    <col min="2056" max="2056" width="13.140625" style="50" customWidth="1"/>
    <col min="2057" max="2057" width="58" style="50" customWidth="1"/>
    <col min="2058" max="2058" width="25" style="50" customWidth="1"/>
    <col min="2059" max="2059" width="20.7109375" style="50" customWidth="1"/>
    <col min="2060" max="2060" width="25" style="50" customWidth="1"/>
    <col min="2061" max="2295" width="9.140625" style="50" customWidth="1"/>
    <col min="2296" max="2296" width="6" style="50" customWidth="1"/>
    <col min="2297" max="2297" width="50.28515625" style="50" customWidth="1"/>
    <col min="2298" max="2299" width="0" style="50" hidden="1" customWidth="1"/>
    <col min="2300" max="2300" width="20.7109375" style="50" customWidth="1"/>
    <col min="2301" max="2301" width="23.28515625" style="50" customWidth="1"/>
    <col min="2302" max="2311" width="23.28515625" style="50"/>
    <col min="2312" max="2312" width="13.140625" style="50" customWidth="1"/>
    <col min="2313" max="2313" width="58" style="50" customWidth="1"/>
    <col min="2314" max="2314" width="25" style="50" customWidth="1"/>
    <col min="2315" max="2315" width="20.7109375" style="50" customWidth="1"/>
    <col min="2316" max="2316" width="25" style="50" customWidth="1"/>
    <col min="2317" max="2551" width="9.140625" style="50" customWidth="1"/>
    <col min="2552" max="2552" width="6" style="50" customWidth="1"/>
    <col min="2553" max="2553" width="50.28515625" style="50" customWidth="1"/>
    <col min="2554" max="2555" width="0" style="50" hidden="1" customWidth="1"/>
    <col min="2556" max="2556" width="20.7109375" style="50" customWidth="1"/>
    <col min="2557" max="2557" width="23.28515625" style="50" customWidth="1"/>
    <col min="2558" max="2567" width="23.28515625" style="50"/>
    <col min="2568" max="2568" width="13.140625" style="50" customWidth="1"/>
    <col min="2569" max="2569" width="58" style="50" customWidth="1"/>
    <col min="2570" max="2570" width="25" style="50" customWidth="1"/>
    <col min="2571" max="2571" width="20.7109375" style="50" customWidth="1"/>
    <col min="2572" max="2572" width="25" style="50" customWidth="1"/>
    <col min="2573" max="2807" width="9.140625" style="50" customWidth="1"/>
    <col min="2808" max="2808" width="6" style="50" customWidth="1"/>
    <col min="2809" max="2809" width="50.28515625" style="50" customWidth="1"/>
    <col min="2810" max="2811" width="0" style="50" hidden="1" customWidth="1"/>
    <col min="2812" max="2812" width="20.7109375" style="50" customWidth="1"/>
    <col min="2813" max="2813" width="23.28515625" style="50" customWidth="1"/>
    <col min="2814" max="2823" width="23.28515625" style="50"/>
    <col min="2824" max="2824" width="13.140625" style="50" customWidth="1"/>
    <col min="2825" max="2825" width="58" style="50" customWidth="1"/>
    <col min="2826" max="2826" width="25" style="50" customWidth="1"/>
    <col min="2827" max="2827" width="20.7109375" style="50" customWidth="1"/>
    <col min="2828" max="2828" width="25" style="50" customWidth="1"/>
    <col min="2829" max="3063" width="9.140625" style="50" customWidth="1"/>
    <col min="3064" max="3064" width="6" style="50" customWidth="1"/>
    <col min="3065" max="3065" width="50.28515625" style="50" customWidth="1"/>
    <col min="3066" max="3067" width="0" style="50" hidden="1" customWidth="1"/>
    <col min="3068" max="3068" width="20.7109375" style="50" customWidth="1"/>
    <col min="3069" max="3069" width="23.28515625" style="50" customWidth="1"/>
    <col min="3070" max="3079" width="23.28515625" style="50"/>
    <col min="3080" max="3080" width="13.140625" style="50" customWidth="1"/>
    <col min="3081" max="3081" width="58" style="50" customWidth="1"/>
    <col min="3082" max="3082" width="25" style="50" customWidth="1"/>
    <col min="3083" max="3083" width="20.7109375" style="50" customWidth="1"/>
    <col min="3084" max="3084" width="25" style="50" customWidth="1"/>
    <col min="3085" max="3319" width="9.140625" style="50" customWidth="1"/>
    <col min="3320" max="3320" width="6" style="50" customWidth="1"/>
    <col min="3321" max="3321" width="50.28515625" style="50" customWidth="1"/>
    <col min="3322" max="3323" width="0" style="50" hidden="1" customWidth="1"/>
    <col min="3324" max="3324" width="20.7109375" style="50" customWidth="1"/>
    <col min="3325" max="3325" width="23.28515625" style="50" customWidth="1"/>
    <col min="3326" max="3335" width="23.28515625" style="50"/>
    <col min="3336" max="3336" width="13.140625" style="50" customWidth="1"/>
    <col min="3337" max="3337" width="58" style="50" customWidth="1"/>
    <col min="3338" max="3338" width="25" style="50" customWidth="1"/>
    <col min="3339" max="3339" width="20.7109375" style="50" customWidth="1"/>
    <col min="3340" max="3340" width="25" style="50" customWidth="1"/>
    <col min="3341" max="3575" width="9.140625" style="50" customWidth="1"/>
    <col min="3576" max="3576" width="6" style="50" customWidth="1"/>
    <col min="3577" max="3577" width="50.28515625" style="50" customWidth="1"/>
    <col min="3578" max="3579" width="0" style="50" hidden="1" customWidth="1"/>
    <col min="3580" max="3580" width="20.7109375" style="50" customWidth="1"/>
    <col min="3581" max="3581" width="23.28515625" style="50" customWidth="1"/>
    <col min="3582" max="3591" width="23.28515625" style="50"/>
    <col min="3592" max="3592" width="13.140625" style="50" customWidth="1"/>
    <col min="3593" max="3593" width="58" style="50" customWidth="1"/>
    <col min="3594" max="3594" width="25" style="50" customWidth="1"/>
    <col min="3595" max="3595" width="20.7109375" style="50" customWidth="1"/>
    <col min="3596" max="3596" width="25" style="50" customWidth="1"/>
    <col min="3597" max="3831" width="9.140625" style="50" customWidth="1"/>
    <col min="3832" max="3832" width="6" style="50" customWidth="1"/>
    <col min="3833" max="3833" width="50.28515625" style="50" customWidth="1"/>
    <col min="3834" max="3835" width="0" style="50" hidden="1" customWidth="1"/>
    <col min="3836" max="3836" width="20.7109375" style="50" customWidth="1"/>
    <col min="3837" max="3837" width="23.28515625" style="50" customWidth="1"/>
    <col min="3838" max="3847" width="23.28515625" style="50"/>
    <col min="3848" max="3848" width="13.140625" style="50" customWidth="1"/>
    <col min="3849" max="3849" width="58" style="50" customWidth="1"/>
    <col min="3850" max="3850" width="25" style="50" customWidth="1"/>
    <col min="3851" max="3851" width="20.7109375" style="50" customWidth="1"/>
    <col min="3852" max="3852" width="25" style="50" customWidth="1"/>
    <col min="3853" max="4087" width="9.140625" style="50" customWidth="1"/>
    <col min="4088" max="4088" width="6" style="50" customWidth="1"/>
    <col min="4089" max="4089" width="50.28515625" style="50" customWidth="1"/>
    <col min="4090" max="4091" width="0" style="50" hidden="1" customWidth="1"/>
    <col min="4092" max="4092" width="20.7109375" style="50" customWidth="1"/>
    <col min="4093" max="4093" width="23.28515625" style="50" customWidth="1"/>
    <col min="4094" max="4103" width="23.28515625" style="50"/>
    <col min="4104" max="4104" width="13.140625" style="50" customWidth="1"/>
    <col min="4105" max="4105" width="58" style="50" customWidth="1"/>
    <col min="4106" max="4106" width="25" style="50" customWidth="1"/>
    <col min="4107" max="4107" width="20.7109375" style="50" customWidth="1"/>
    <col min="4108" max="4108" width="25" style="50" customWidth="1"/>
    <col min="4109" max="4343" width="9.140625" style="50" customWidth="1"/>
    <col min="4344" max="4344" width="6" style="50" customWidth="1"/>
    <col min="4345" max="4345" width="50.28515625" style="50" customWidth="1"/>
    <col min="4346" max="4347" width="0" style="50" hidden="1" customWidth="1"/>
    <col min="4348" max="4348" width="20.7109375" style="50" customWidth="1"/>
    <col min="4349" max="4349" width="23.28515625" style="50" customWidth="1"/>
    <col min="4350" max="4359" width="23.28515625" style="50"/>
    <col min="4360" max="4360" width="13.140625" style="50" customWidth="1"/>
    <col min="4361" max="4361" width="58" style="50" customWidth="1"/>
    <col min="4362" max="4362" width="25" style="50" customWidth="1"/>
    <col min="4363" max="4363" width="20.7109375" style="50" customWidth="1"/>
    <col min="4364" max="4364" width="25" style="50" customWidth="1"/>
    <col min="4365" max="4599" width="9.140625" style="50" customWidth="1"/>
    <col min="4600" max="4600" width="6" style="50" customWidth="1"/>
    <col min="4601" max="4601" width="50.28515625" style="50" customWidth="1"/>
    <col min="4602" max="4603" width="0" style="50" hidden="1" customWidth="1"/>
    <col min="4604" max="4604" width="20.7109375" style="50" customWidth="1"/>
    <col min="4605" max="4605" width="23.28515625" style="50" customWidth="1"/>
    <col min="4606" max="4615" width="23.28515625" style="50"/>
    <col min="4616" max="4616" width="13.140625" style="50" customWidth="1"/>
    <col min="4617" max="4617" width="58" style="50" customWidth="1"/>
    <col min="4618" max="4618" width="25" style="50" customWidth="1"/>
    <col min="4619" max="4619" width="20.7109375" style="50" customWidth="1"/>
    <col min="4620" max="4620" width="25" style="50" customWidth="1"/>
    <col min="4621" max="4855" width="9.140625" style="50" customWidth="1"/>
    <col min="4856" max="4856" width="6" style="50" customWidth="1"/>
    <col min="4857" max="4857" width="50.28515625" style="50" customWidth="1"/>
    <col min="4858" max="4859" width="0" style="50" hidden="1" customWidth="1"/>
    <col min="4860" max="4860" width="20.7109375" style="50" customWidth="1"/>
    <col min="4861" max="4861" width="23.28515625" style="50" customWidth="1"/>
    <col min="4862" max="4871" width="23.28515625" style="50"/>
    <col min="4872" max="4872" width="13.140625" style="50" customWidth="1"/>
    <col min="4873" max="4873" width="58" style="50" customWidth="1"/>
    <col min="4874" max="4874" width="25" style="50" customWidth="1"/>
    <col min="4875" max="4875" width="20.7109375" style="50" customWidth="1"/>
    <col min="4876" max="4876" width="25" style="50" customWidth="1"/>
    <col min="4877" max="5111" width="9.140625" style="50" customWidth="1"/>
    <col min="5112" max="5112" width="6" style="50" customWidth="1"/>
    <col min="5113" max="5113" width="50.28515625" style="50" customWidth="1"/>
    <col min="5114" max="5115" width="0" style="50" hidden="1" customWidth="1"/>
    <col min="5116" max="5116" width="20.7109375" style="50" customWidth="1"/>
    <col min="5117" max="5117" width="23.28515625" style="50" customWidth="1"/>
    <col min="5118" max="5127" width="23.28515625" style="50"/>
    <col min="5128" max="5128" width="13.140625" style="50" customWidth="1"/>
    <col min="5129" max="5129" width="58" style="50" customWidth="1"/>
    <col min="5130" max="5130" width="25" style="50" customWidth="1"/>
    <col min="5131" max="5131" width="20.7109375" style="50" customWidth="1"/>
    <col min="5132" max="5132" width="25" style="50" customWidth="1"/>
    <col min="5133" max="5367" width="9.140625" style="50" customWidth="1"/>
    <col min="5368" max="5368" width="6" style="50" customWidth="1"/>
    <col min="5369" max="5369" width="50.28515625" style="50" customWidth="1"/>
    <col min="5370" max="5371" width="0" style="50" hidden="1" customWidth="1"/>
    <col min="5372" max="5372" width="20.7109375" style="50" customWidth="1"/>
    <col min="5373" max="5373" width="23.28515625" style="50" customWidth="1"/>
    <col min="5374" max="5383" width="23.28515625" style="50"/>
    <col min="5384" max="5384" width="13.140625" style="50" customWidth="1"/>
    <col min="5385" max="5385" width="58" style="50" customWidth="1"/>
    <col min="5386" max="5386" width="25" style="50" customWidth="1"/>
    <col min="5387" max="5387" width="20.7109375" style="50" customWidth="1"/>
    <col min="5388" max="5388" width="25" style="50" customWidth="1"/>
    <col min="5389" max="5623" width="9.140625" style="50" customWidth="1"/>
    <col min="5624" max="5624" width="6" style="50" customWidth="1"/>
    <col min="5625" max="5625" width="50.28515625" style="50" customWidth="1"/>
    <col min="5626" max="5627" width="0" style="50" hidden="1" customWidth="1"/>
    <col min="5628" max="5628" width="20.7109375" style="50" customWidth="1"/>
    <col min="5629" max="5629" width="23.28515625" style="50" customWidth="1"/>
    <col min="5630" max="5639" width="23.28515625" style="50"/>
    <col min="5640" max="5640" width="13.140625" style="50" customWidth="1"/>
    <col min="5641" max="5641" width="58" style="50" customWidth="1"/>
    <col min="5642" max="5642" width="25" style="50" customWidth="1"/>
    <col min="5643" max="5643" width="20.7109375" style="50" customWidth="1"/>
    <col min="5644" max="5644" width="25" style="50" customWidth="1"/>
    <col min="5645" max="5879" width="9.140625" style="50" customWidth="1"/>
    <col min="5880" max="5880" width="6" style="50" customWidth="1"/>
    <col min="5881" max="5881" width="50.28515625" style="50" customWidth="1"/>
    <col min="5882" max="5883" width="0" style="50" hidden="1" customWidth="1"/>
    <col min="5884" max="5884" width="20.7109375" style="50" customWidth="1"/>
    <col min="5885" max="5885" width="23.28515625" style="50" customWidth="1"/>
    <col min="5886" max="5895" width="23.28515625" style="50"/>
    <col min="5896" max="5896" width="13.140625" style="50" customWidth="1"/>
    <col min="5897" max="5897" width="58" style="50" customWidth="1"/>
    <col min="5898" max="5898" width="25" style="50" customWidth="1"/>
    <col min="5899" max="5899" width="20.7109375" style="50" customWidth="1"/>
    <col min="5900" max="5900" width="25" style="50" customWidth="1"/>
    <col min="5901" max="6135" width="9.140625" style="50" customWidth="1"/>
    <col min="6136" max="6136" width="6" style="50" customWidth="1"/>
    <col min="6137" max="6137" width="50.28515625" style="50" customWidth="1"/>
    <col min="6138" max="6139" width="0" style="50" hidden="1" customWidth="1"/>
    <col min="6140" max="6140" width="20.7109375" style="50" customWidth="1"/>
    <col min="6141" max="6141" width="23.28515625" style="50" customWidth="1"/>
    <col min="6142" max="6151" width="23.28515625" style="50"/>
    <col min="6152" max="6152" width="13.140625" style="50" customWidth="1"/>
    <col min="6153" max="6153" width="58" style="50" customWidth="1"/>
    <col min="6154" max="6154" width="25" style="50" customWidth="1"/>
    <col min="6155" max="6155" width="20.7109375" style="50" customWidth="1"/>
    <col min="6156" max="6156" width="25" style="50" customWidth="1"/>
    <col min="6157" max="6391" width="9.140625" style="50" customWidth="1"/>
    <col min="6392" max="6392" width="6" style="50" customWidth="1"/>
    <col min="6393" max="6393" width="50.28515625" style="50" customWidth="1"/>
    <col min="6394" max="6395" width="0" style="50" hidden="1" customWidth="1"/>
    <col min="6396" max="6396" width="20.7109375" style="50" customWidth="1"/>
    <col min="6397" max="6397" width="23.28515625" style="50" customWidth="1"/>
    <col min="6398" max="6407" width="23.28515625" style="50"/>
    <col min="6408" max="6408" width="13.140625" style="50" customWidth="1"/>
    <col min="6409" max="6409" width="58" style="50" customWidth="1"/>
    <col min="6410" max="6410" width="25" style="50" customWidth="1"/>
    <col min="6411" max="6411" width="20.7109375" style="50" customWidth="1"/>
    <col min="6412" max="6412" width="25" style="50" customWidth="1"/>
    <col min="6413" max="6647" width="9.140625" style="50" customWidth="1"/>
    <col min="6648" max="6648" width="6" style="50" customWidth="1"/>
    <col min="6649" max="6649" width="50.28515625" style="50" customWidth="1"/>
    <col min="6650" max="6651" width="0" style="50" hidden="1" customWidth="1"/>
    <col min="6652" max="6652" width="20.7109375" style="50" customWidth="1"/>
    <col min="6653" max="6653" width="23.28515625" style="50" customWidth="1"/>
    <col min="6654" max="6663" width="23.28515625" style="50"/>
    <col min="6664" max="6664" width="13.140625" style="50" customWidth="1"/>
    <col min="6665" max="6665" width="58" style="50" customWidth="1"/>
    <col min="6666" max="6666" width="25" style="50" customWidth="1"/>
    <col min="6667" max="6667" width="20.7109375" style="50" customWidth="1"/>
    <col min="6668" max="6668" width="25" style="50" customWidth="1"/>
    <col min="6669" max="6903" width="9.140625" style="50" customWidth="1"/>
    <col min="6904" max="6904" width="6" style="50" customWidth="1"/>
    <col min="6905" max="6905" width="50.28515625" style="50" customWidth="1"/>
    <col min="6906" max="6907" width="0" style="50" hidden="1" customWidth="1"/>
    <col min="6908" max="6908" width="20.7109375" style="50" customWidth="1"/>
    <col min="6909" max="6909" width="23.28515625" style="50" customWidth="1"/>
    <col min="6910" max="6919" width="23.28515625" style="50"/>
    <col min="6920" max="6920" width="13.140625" style="50" customWidth="1"/>
    <col min="6921" max="6921" width="58" style="50" customWidth="1"/>
    <col min="6922" max="6922" width="25" style="50" customWidth="1"/>
    <col min="6923" max="6923" width="20.7109375" style="50" customWidth="1"/>
    <col min="6924" max="6924" width="25" style="50" customWidth="1"/>
    <col min="6925" max="7159" width="9.140625" style="50" customWidth="1"/>
    <col min="7160" max="7160" width="6" style="50" customWidth="1"/>
    <col min="7161" max="7161" width="50.28515625" style="50" customWidth="1"/>
    <col min="7162" max="7163" width="0" style="50" hidden="1" customWidth="1"/>
    <col min="7164" max="7164" width="20.7109375" style="50" customWidth="1"/>
    <col min="7165" max="7165" width="23.28515625" style="50" customWidth="1"/>
    <col min="7166" max="7175" width="23.28515625" style="50"/>
    <col min="7176" max="7176" width="13.140625" style="50" customWidth="1"/>
    <col min="7177" max="7177" width="58" style="50" customWidth="1"/>
    <col min="7178" max="7178" width="25" style="50" customWidth="1"/>
    <col min="7179" max="7179" width="20.7109375" style="50" customWidth="1"/>
    <col min="7180" max="7180" width="25" style="50" customWidth="1"/>
    <col min="7181" max="7415" width="9.140625" style="50" customWidth="1"/>
    <col min="7416" max="7416" width="6" style="50" customWidth="1"/>
    <col min="7417" max="7417" width="50.28515625" style="50" customWidth="1"/>
    <col min="7418" max="7419" width="0" style="50" hidden="1" customWidth="1"/>
    <col min="7420" max="7420" width="20.7109375" style="50" customWidth="1"/>
    <col min="7421" max="7421" width="23.28515625" style="50" customWidth="1"/>
    <col min="7422" max="7431" width="23.28515625" style="50"/>
    <col min="7432" max="7432" width="13.140625" style="50" customWidth="1"/>
    <col min="7433" max="7433" width="58" style="50" customWidth="1"/>
    <col min="7434" max="7434" width="25" style="50" customWidth="1"/>
    <col min="7435" max="7435" width="20.7109375" style="50" customWidth="1"/>
    <col min="7436" max="7436" width="25" style="50" customWidth="1"/>
    <col min="7437" max="7671" width="9.140625" style="50" customWidth="1"/>
    <col min="7672" max="7672" width="6" style="50" customWidth="1"/>
    <col min="7673" max="7673" width="50.28515625" style="50" customWidth="1"/>
    <col min="7674" max="7675" width="0" style="50" hidden="1" customWidth="1"/>
    <col min="7676" max="7676" width="20.7109375" style="50" customWidth="1"/>
    <col min="7677" max="7677" width="23.28515625" style="50" customWidth="1"/>
    <col min="7678" max="7687" width="23.28515625" style="50"/>
    <col min="7688" max="7688" width="13.140625" style="50" customWidth="1"/>
    <col min="7689" max="7689" width="58" style="50" customWidth="1"/>
    <col min="7690" max="7690" width="25" style="50" customWidth="1"/>
    <col min="7691" max="7691" width="20.7109375" style="50" customWidth="1"/>
    <col min="7692" max="7692" width="25" style="50" customWidth="1"/>
    <col min="7693" max="7927" width="9.140625" style="50" customWidth="1"/>
    <col min="7928" max="7928" width="6" style="50" customWidth="1"/>
    <col min="7929" max="7929" width="50.28515625" style="50" customWidth="1"/>
    <col min="7930" max="7931" width="0" style="50" hidden="1" customWidth="1"/>
    <col min="7932" max="7932" width="20.7109375" style="50" customWidth="1"/>
    <col min="7933" max="7933" width="23.28515625" style="50" customWidth="1"/>
    <col min="7934" max="7943" width="23.28515625" style="50"/>
    <col min="7944" max="7944" width="13.140625" style="50" customWidth="1"/>
    <col min="7945" max="7945" width="58" style="50" customWidth="1"/>
    <col min="7946" max="7946" width="25" style="50" customWidth="1"/>
    <col min="7947" max="7947" width="20.7109375" style="50" customWidth="1"/>
    <col min="7948" max="7948" width="25" style="50" customWidth="1"/>
    <col min="7949" max="8183" width="9.140625" style="50" customWidth="1"/>
    <col min="8184" max="8184" width="6" style="50" customWidth="1"/>
    <col min="8185" max="8185" width="50.28515625" style="50" customWidth="1"/>
    <col min="8186" max="8187" width="0" style="50" hidden="1" customWidth="1"/>
    <col min="8188" max="8188" width="20.7109375" style="50" customWidth="1"/>
    <col min="8189" max="8189" width="23.28515625" style="50" customWidth="1"/>
    <col min="8190" max="8199" width="23.28515625" style="50"/>
    <col min="8200" max="8200" width="13.140625" style="50" customWidth="1"/>
    <col min="8201" max="8201" width="58" style="50" customWidth="1"/>
    <col min="8202" max="8202" width="25" style="50" customWidth="1"/>
    <col min="8203" max="8203" width="20.7109375" style="50" customWidth="1"/>
    <col min="8204" max="8204" width="25" style="50" customWidth="1"/>
    <col min="8205" max="8439" width="9.140625" style="50" customWidth="1"/>
    <col min="8440" max="8440" width="6" style="50" customWidth="1"/>
    <col min="8441" max="8441" width="50.28515625" style="50" customWidth="1"/>
    <col min="8442" max="8443" width="0" style="50" hidden="1" customWidth="1"/>
    <col min="8444" max="8444" width="20.7109375" style="50" customWidth="1"/>
    <col min="8445" max="8445" width="23.28515625" style="50" customWidth="1"/>
    <col min="8446" max="8455" width="23.28515625" style="50"/>
    <col min="8456" max="8456" width="13.140625" style="50" customWidth="1"/>
    <col min="8457" max="8457" width="58" style="50" customWidth="1"/>
    <col min="8458" max="8458" width="25" style="50" customWidth="1"/>
    <col min="8459" max="8459" width="20.7109375" style="50" customWidth="1"/>
    <col min="8460" max="8460" width="25" style="50" customWidth="1"/>
    <col min="8461" max="8695" width="9.140625" style="50" customWidth="1"/>
    <col min="8696" max="8696" width="6" style="50" customWidth="1"/>
    <col min="8697" max="8697" width="50.28515625" style="50" customWidth="1"/>
    <col min="8698" max="8699" width="0" style="50" hidden="1" customWidth="1"/>
    <col min="8700" max="8700" width="20.7109375" style="50" customWidth="1"/>
    <col min="8701" max="8701" width="23.28515625" style="50" customWidth="1"/>
    <col min="8702" max="8711" width="23.28515625" style="50"/>
    <col min="8712" max="8712" width="13.140625" style="50" customWidth="1"/>
    <col min="8713" max="8713" width="58" style="50" customWidth="1"/>
    <col min="8714" max="8714" width="25" style="50" customWidth="1"/>
    <col min="8715" max="8715" width="20.7109375" style="50" customWidth="1"/>
    <col min="8716" max="8716" width="25" style="50" customWidth="1"/>
    <col min="8717" max="8951" width="9.140625" style="50" customWidth="1"/>
    <col min="8952" max="8952" width="6" style="50" customWidth="1"/>
    <col min="8953" max="8953" width="50.28515625" style="50" customWidth="1"/>
    <col min="8954" max="8955" width="0" style="50" hidden="1" customWidth="1"/>
    <col min="8956" max="8956" width="20.7109375" style="50" customWidth="1"/>
    <col min="8957" max="8957" width="23.28515625" style="50" customWidth="1"/>
    <col min="8958" max="8967" width="23.28515625" style="50"/>
    <col min="8968" max="8968" width="13.140625" style="50" customWidth="1"/>
    <col min="8969" max="8969" width="58" style="50" customWidth="1"/>
    <col min="8970" max="8970" width="25" style="50" customWidth="1"/>
    <col min="8971" max="8971" width="20.7109375" style="50" customWidth="1"/>
    <col min="8972" max="8972" width="25" style="50" customWidth="1"/>
    <col min="8973" max="9207" width="9.140625" style="50" customWidth="1"/>
    <col min="9208" max="9208" width="6" style="50" customWidth="1"/>
    <col min="9209" max="9209" width="50.28515625" style="50" customWidth="1"/>
    <col min="9210" max="9211" width="0" style="50" hidden="1" customWidth="1"/>
    <col min="9212" max="9212" width="20.7109375" style="50" customWidth="1"/>
    <col min="9213" max="9213" width="23.28515625" style="50" customWidth="1"/>
    <col min="9214" max="9223" width="23.28515625" style="50"/>
    <col min="9224" max="9224" width="13.140625" style="50" customWidth="1"/>
    <col min="9225" max="9225" width="58" style="50" customWidth="1"/>
    <col min="9226" max="9226" width="25" style="50" customWidth="1"/>
    <col min="9227" max="9227" width="20.7109375" style="50" customWidth="1"/>
    <col min="9228" max="9228" width="25" style="50" customWidth="1"/>
    <col min="9229" max="9463" width="9.140625" style="50" customWidth="1"/>
    <col min="9464" max="9464" width="6" style="50" customWidth="1"/>
    <col min="9465" max="9465" width="50.28515625" style="50" customWidth="1"/>
    <col min="9466" max="9467" width="0" style="50" hidden="1" customWidth="1"/>
    <col min="9468" max="9468" width="20.7109375" style="50" customWidth="1"/>
    <col min="9469" max="9469" width="23.28515625" style="50" customWidth="1"/>
    <col min="9470" max="9479" width="23.28515625" style="50"/>
    <col min="9480" max="9480" width="13.140625" style="50" customWidth="1"/>
    <col min="9481" max="9481" width="58" style="50" customWidth="1"/>
    <col min="9482" max="9482" width="25" style="50" customWidth="1"/>
    <col min="9483" max="9483" width="20.7109375" style="50" customWidth="1"/>
    <col min="9484" max="9484" width="25" style="50" customWidth="1"/>
    <col min="9485" max="9719" width="9.140625" style="50" customWidth="1"/>
    <col min="9720" max="9720" width="6" style="50" customWidth="1"/>
    <col min="9721" max="9721" width="50.28515625" style="50" customWidth="1"/>
    <col min="9722" max="9723" width="0" style="50" hidden="1" customWidth="1"/>
    <col min="9724" max="9724" width="20.7109375" style="50" customWidth="1"/>
    <col min="9725" max="9725" width="23.28515625" style="50" customWidth="1"/>
    <col min="9726" max="9735" width="23.28515625" style="50"/>
    <col min="9736" max="9736" width="13.140625" style="50" customWidth="1"/>
    <col min="9737" max="9737" width="58" style="50" customWidth="1"/>
    <col min="9738" max="9738" width="25" style="50" customWidth="1"/>
    <col min="9739" max="9739" width="20.7109375" style="50" customWidth="1"/>
    <col min="9740" max="9740" width="25" style="50" customWidth="1"/>
    <col min="9741" max="9975" width="9.140625" style="50" customWidth="1"/>
    <col min="9976" max="9976" width="6" style="50" customWidth="1"/>
    <col min="9977" max="9977" width="50.28515625" style="50" customWidth="1"/>
    <col min="9978" max="9979" width="0" style="50" hidden="1" customWidth="1"/>
    <col min="9980" max="9980" width="20.7109375" style="50" customWidth="1"/>
    <col min="9981" max="9981" width="23.28515625" style="50" customWidth="1"/>
    <col min="9982" max="9991" width="23.28515625" style="50"/>
    <col min="9992" max="9992" width="13.140625" style="50" customWidth="1"/>
    <col min="9993" max="9993" width="58" style="50" customWidth="1"/>
    <col min="9994" max="9994" width="25" style="50" customWidth="1"/>
    <col min="9995" max="9995" width="20.7109375" style="50" customWidth="1"/>
    <col min="9996" max="9996" width="25" style="50" customWidth="1"/>
    <col min="9997" max="10231" width="9.140625" style="50" customWidth="1"/>
    <col min="10232" max="10232" width="6" style="50" customWidth="1"/>
    <col min="10233" max="10233" width="50.28515625" style="50" customWidth="1"/>
    <col min="10234" max="10235" width="0" style="50" hidden="1" customWidth="1"/>
    <col min="10236" max="10236" width="20.7109375" style="50" customWidth="1"/>
    <col min="10237" max="10237" width="23.28515625" style="50" customWidth="1"/>
    <col min="10238" max="10247" width="23.28515625" style="50"/>
    <col min="10248" max="10248" width="13.140625" style="50" customWidth="1"/>
    <col min="10249" max="10249" width="58" style="50" customWidth="1"/>
    <col min="10250" max="10250" width="25" style="50" customWidth="1"/>
    <col min="10251" max="10251" width="20.7109375" style="50" customWidth="1"/>
    <col min="10252" max="10252" width="25" style="50" customWidth="1"/>
    <col min="10253" max="10487" width="9.140625" style="50" customWidth="1"/>
    <col min="10488" max="10488" width="6" style="50" customWidth="1"/>
    <col min="10489" max="10489" width="50.28515625" style="50" customWidth="1"/>
    <col min="10490" max="10491" width="0" style="50" hidden="1" customWidth="1"/>
    <col min="10492" max="10492" width="20.7109375" style="50" customWidth="1"/>
    <col min="10493" max="10493" width="23.28515625" style="50" customWidth="1"/>
    <col min="10494" max="10503" width="23.28515625" style="50"/>
    <col min="10504" max="10504" width="13.140625" style="50" customWidth="1"/>
    <col min="10505" max="10505" width="58" style="50" customWidth="1"/>
    <col min="10506" max="10506" width="25" style="50" customWidth="1"/>
    <col min="10507" max="10507" width="20.7109375" style="50" customWidth="1"/>
    <col min="10508" max="10508" width="25" style="50" customWidth="1"/>
    <col min="10509" max="10743" width="9.140625" style="50" customWidth="1"/>
    <col min="10744" max="10744" width="6" style="50" customWidth="1"/>
    <col min="10745" max="10745" width="50.28515625" style="50" customWidth="1"/>
    <col min="10746" max="10747" width="0" style="50" hidden="1" customWidth="1"/>
    <col min="10748" max="10748" width="20.7109375" style="50" customWidth="1"/>
    <col min="10749" max="10749" width="23.28515625" style="50" customWidth="1"/>
    <col min="10750" max="10759" width="23.28515625" style="50"/>
    <col min="10760" max="10760" width="13.140625" style="50" customWidth="1"/>
    <col min="10761" max="10761" width="58" style="50" customWidth="1"/>
    <col min="10762" max="10762" width="25" style="50" customWidth="1"/>
    <col min="10763" max="10763" width="20.7109375" style="50" customWidth="1"/>
    <col min="10764" max="10764" width="25" style="50" customWidth="1"/>
    <col min="10765" max="10999" width="9.140625" style="50" customWidth="1"/>
    <col min="11000" max="11000" width="6" style="50" customWidth="1"/>
    <col min="11001" max="11001" width="50.28515625" style="50" customWidth="1"/>
    <col min="11002" max="11003" width="0" style="50" hidden="1" customWidth="1"/>
    <col min="11004" max="11004" width="20.7109375" style="50" customWidth="1"/>
    <col min="11005" max="11005" width="23.28515625" style="50" customWidth="1"/>
    <col min="11006" max="11015" width="23.28515625" style="50"/>
    <col min="11016" max="11016" width="13.140625" style="50" customWidth="1"/>
    <col min="11017" max="11017" width="58" style="50" customWidth="1"/>
    <col min="11018" max="11018" width="25" style="50" customWidth="1"/>
    <col min="11019" max="11019" width="20.7109375" style="50" customWidth="1"/>
    <col min="11020" max="11020" width="25" style="50" customWidth="1"/>
    <col min="11021" max="11255" width="9.140625" style="50" customWidth="1"/>
    <col min="11256" max="11256" width="6" style="50" customWidth="1"/>
    <col min="11257" max="11257" width="50.28515625" style="50" customWidth="1"/>
    <col min="11258" max="11259" width="0" style="50" hidden="1" customWidth="1"/>
    <col min="11260" max="11260" width="20.7109375" style="50" customWidth="1"/>
    <col min="11261" max="11261" width="23.28515625" style="50" customWidth="1"/>
    <col min="11262" max="11271" width="23.28515625" style="50"/>
    <col min="11272" max="11272" width="13.140625" style="50" customWidth="1"/>
    <col min="11273" max="11273" width="58" style="50" customWidth="1"/>
    <col min="11274" max="11274" width="25" style="50" customWidth="1"/>
    <col min="11275" max="11275" width="20.7109375" style="50" customWidth="1"/>
    <col min="11276" max="11276" width="25" style="50" customWidth="1"/>
    <col min="11277" max="11511" width="9.140625" style="50" customWidth="1"/>
    <col min="11512" max="11512" width="6" style="50" customWidth="1"/>
    <col min="11513" max="11513" width="50.28515625" style="50" customWidth="1"/>
    <col min="11514" max="11515" width="0" style="50" hidden="1" customWidth="1"/>
    <col min="11516" max="11516" width="20.7109375" style="50" customWidth="1"/>
    <col min="11517" max="11517" width="23.28515625" style="50" customWidth="1"/>
    <col min="11518" max="11527" width="23.28515625" style="50"/>
    <col min="11528" max="11528" width="13.140625" style="50" customWidth="1"/>
    <col min="11529" max="11529" width="58" style="50" customWidth="1"/>
    <col min="11530" max="11530" width="25" style="50" customWidth="1"/>
    <col min="11531" max="11531" width="20.7109375" style="50" customWidth="1"/>
    <col min="11532" max="11532" width="25" style="50" customWidth="1"/>
    <col min="11533" max="11767" width="9.140625" style="50" customWidth="1"/>
    <col min="11768" max="11768" width="6" style="50" customWidth="1"/>
    <col min="11769" max="11769" width="50.28515625" style="50" customWidth="1"/>
    <col min="11770" max="11771" width="0" style="50" hidden="1" customWidth="1"/>
    <col min="11772" max="11772" width="20.7109375" style="50" customWidth="1"/>
    <col min="11773" max="11773" width="23.28515625" style="50" customWidth="1"/>
    <col min="11774" max="11783" width="23.28515625" style="50"/>
    <col min="11784" max="11784" width="13.140625" style="50" customWidth="1"/>
    <col min="11785" max="11785" width="58" style="50" customWidth="1"/>
    <col min="11786" max="11786" width="25" style="50" customWidth="1"/>
    <col min="11787" max="11787" width="20.7109375" style="50" customWidth="1"/>
    <col min="11788" max="11788" width="25" style="50" customWidth="1"/>
    <col min="11789" max="12023" width="9.140625" style="50" customWidth="1"/>
    <col min="12024" max="12024" width="6" style="50" customWidth="1"/>
    <col min="12025" max="12025" width="50.28515625" style="50" customWidth="1"/>
    <col min="12026" max="12027" width="0" style="50" hidden="1" customWidth="1"/>
    <col min="12028" max="12028" width="20.7109375" style="50" customWidth="1"/>
    <col min="12029" max="12029" width="23.28515625" style="50" customWidth="1"/>
    <col min="12030" max="12039" width="23.28515625" style="50"/>
    <col min="12040" max="12040" width="13.140625" style="50" customWidth="1"/>
    <col min="12041" max="12041" width="58" style="50" customWidth="1"/>
    <col min="12042" max="12042" width="25" style="50" customWidth="1"/>
    <col min="12043" max="12043" width="20.7109375" style="50" customWidth="1"/>
    <col min="12044" max="12044" width="25" style="50" customWidth="1"/>
    <col min="12045" max="12279" width="9.140625" style="50" customWidth="1"/>
    <col min="12280" max="12280" width="6" style="50" customWidth="1"/>
    <col min="12281" max="12281" width="50.28515625" style="50" customWidth="1"/>
    <col min="12282" max="12283" width="0" style="50" hidden="1" customWidth="1"/>
    <col min="12284" max="12284" width="20.7109375" style="50" customWidth="1"/>
    <col min="12285" max="12285" width="23.28515625" style="50" customWidth="1"/>
    <col min="12286" max="12295" width="23.28515625" style="50"/>
    <col min="12296" max="12296" width="13.140625" style="50" customWidth="1"/>
    <col min="12297" max="12297" width="58" style="50" customWidth="1"/>
    <col min="12298" max="12298" width="25" style="50" customWidth="1"/>
    <col min="12299" max="12299" width="20.7109375" style="50" customWidth="1"/>
    <col min="12300" max="12300" width="25" style="50" customWidth="1"/>
    <col min="12301" max="12535" width="9.140625" style="50" customWidth="1"/>
    <col min="12536" max="12536" width="6" style="50" customWidth="1"/>
    <col min="12537" max="12537" width="50.28515625" style="50" customWidth="1"/>
    <col min="12538" max="12539" width="0" style="50" hidden="1" customWidth="1"/>
    <col min="12540" max="12540" width="20.7109375" style="50" customWidth="1"/>
    <col min="12541" max="12541" width="23.28515625" style="50" customWidth="1"/>
    <col min="12542" max="12551" width="23.28515625" style="50"/>
    <col min="12552" max="12552" width="13.140625" style="50" customWidth="1"/>
    <col min="12553" max="12553" width="58" style="50" customWidth="1"/>
    <col min="12554" max="12554" width="25" style="50" customWidth="1"/>
    <col min="12555" max="12555" width="20.7109375" style="50" customWidth="1"/>
    <col min="12556" max="12556" width="25" style="50" customWidth="1"/>
    <col min="12557" max="12791" width="9.140625" style="50" customWidth="1"/>
    <col min="12792" max="12792" width="6" style="50" customWidth="1"/>
    <col min="12793" max="12793" width="50.28515625" style="50" customWidth="1"/>
    <col min="12794" max="12795" width="0" style="50" hidden="1" customWidth="1"/>
    <col min="12796" max="12796" width="20.7109375" style="50" customWidth="1"/>
    <col min="12797" max="12797" width="23.28515625" style="50" customWidth="1"/>
    <col min="12798" max="12807" width="23.28515625" style="50"/>
    <col min="12808" max="12808" width="13.140625" style="50" customWidth="1"/>
    <col min="12809" max="12809" width="58" style="50" customWidth="1"/>
    <col min="12810" max="12810" width="25" style="50" customWidth="1"/>
    <col min="12811" max="12811" width="20.7109375" style="50" customWidth="1"/>
    <col min="12812" max="12812" width="25" style="50" customWidth="1"/>
    <col min="12813" max="13047" width="9.140625" style="50" customWidth="1"/>
    <col min="13048" max="13048" width="6" style="50" customWidth="1"/>
    <col min="13049" max="13049" width="50.28515625" style="50" customWidth="1"/>
    <col min="13050" max="13051" width="0" style="50" hidden="1" customWidth="1"/>
    <col min="13052" max="13052" width="20.7109375" style="50" customWidth="1"/>
    <col min="13053" max="13053" width="23.28515625" style="50" customWidth="1"/>
    <col min="13054" max="13063" width="23.28515625" style="50"/>
    <col min="13064" max="13064" width="13.140625" style="50" customWidth="1"/>
    <col min="13065" max="13065" width="58" style="50" customWidth="1"/>
    <col min="13066" max="13066" width="25" style="50" customWidth="1"/>
    <col min="13067" max="13067" width="20.7109375" style="50" customWidth="1"/>
    <col min="13068" max="13068" width="25" style="50" customWidth="1"/>
    <col min="13069" max="13303" width="9.140625" style="50" customWidth="1"/>
    <col min="13304" max="13304" width="6" style="50" customWidth="1"/>
    <col min="13305" max="13305" width="50.28515625" style="50" customWidth="1"/>
    <col min="13306" max="13307" width="0" style="50" hidden="1" customWidth="1"/>
    <col min="13308" max="13308" width="20.7109375" style="50" customWidth="1"/>
    <col min="13309" max="13309" width="23.28515625" style="50" customWidth="1"/>
    <col min="13310" max="13319" width="23.28515625" style="50"/>
    <col min="13320" max="13320" width="13.140625" style="50" customWidth="1"/>
    <col min="13321" max="13321" width="58" style="50" customWidth="1"/>
    <col min="13322" max="13322" width="25" style="50" customWidth="1"/>
    <col min="13323" max="13323" width="20.7109375" style="50" customWidth="1"/>
    <col min="13324" max="13324" width="25" style="50" customWidth="1"/>
    <col min="13325" max="13559" width="9.140625" style="50" customWidth="1"/>
    <col min="13560" max="13560" width="6" style="50" customWidth="1"/>
    <col min="13561" max="13561" width="50.28515625" style="50" customWidth="1"/>
    <col min="13562" max="13563" width="0" style="50" hidden="1" customWidth="1"/>
    <col min="13564" max="13564" width="20.7109375" style="50" customWidth="1"/>
    <col min="13565" max="13565" width="23.28515625" style="50" customWidth="1"/>
    <col min="13566" max="13575" width="23.28515625" style="50"/>
    <col min="13576" max="13576" width="13.140625" style="50" customWidth="1"/>
    <col min="13577" max="13577" width="58" style="50" customWidth="1"/>
    <col min="13578" max="13578" width="25" style="50" customWidth="1"/>
    <col min="13579" max="13579" width="20.7109375" style="50" customWidth="1"/>
    <col min="13580" max="13580" width="25" style="50" customWidth="1"/>
    <col min="13581" max="13815" width="9.140625" style="50" customWidth="1"/>
    <col min="13816" max="13816" width="6" style="50" customWidth="1"/>
    <col min="13817" max="13817" width="50.28515625" style="50" customWidth="1"/>
    <col min="13818" max="13819" width="0" style="50" hidden="1" customWidth="1"/>
    <col min="13820" max="13820" width="20.7109375" style="50" customWidth="1"/>
    <col min="13821" max="13821" width="23.28515625" style="50" customWidth="1"/>
    <col min="13822" max="13831" width="23.28515625" style="50"/>
    <col min="13832" max="13832" width="13.140625" style="50" customWidth="1"/>
    <col min="13833" max="13833" width="58" style="50" customWidth="1"/>
    <col min="13834" max="13834" width="25" style="50" customWidth="1"/>
    <col min="13835" max="13835" width="20.7109375" style="50" customWidth="1"/>
    <col min="13836" max="13836" width="25" style="50" customWidth="1"/>
    <col min="13837" max="14071" width="9.140625" style="50" customWidth="1"/>
    <col min="14072" max="14072" width="6" style="50" customWidth="1"/>
    <col min="14073" max="14073" width="50.28515625" style="50" customWidth="1"/>
    <col min="14074" max="14075" width="0" style="50" hidden="1" customWidth="1"/>
    <col min="14076" max="14076" width="20.7109375" style="50" customWidth="1"/>
    <col min="14077" max="14077" width="23.28515625" style="50" customWidth="1"/>
    <col min="14078" max="14087" width="23.28515625" style="50"/>
    <col min="14088" max="14088" width="13.140625" style="50" customWidth="1"/>
    <col min="14089" max="14089" width="58" style="50" customWidth="1"/>
    <col min="14090" max="14090" width="25" style="50" customWidth="1"/>
    <col min="14091" max="14091" width="20.7109375" style="50" customWidth="1"/>
    <col min="14092" max="14092" width="25" style="50" customWidth="1"/>
    <col min="14093" max="14327" width="9.140625" style="50" customWidth="1"/>
    <col min="14328" max="14328" width="6" style="50" customWidth="1"/>
    <col min="14329" max="14329" width="50.28515625" style="50" customWidth="1"/>
    <col min="14330" max="14331" width="0" style="50" hidden="1" customWidth="1"/>
    <col min="14332" max="14332" width="20.7109375" style="50" customWidth="1"/>
    <col min="14333" max="14333" width="23.28515625" style="50" customWidth="1"/>
    <col min="14334" max="14343" width="23.28515625" style="50"/>
    <col min="14344" max="14344" width="13.140625" style="50" customWidth="1"/>
    <col min="14345" max="14345" width="58" style="50" customWidth="1"/>
    <col min="14346" max="14346" width="25" style="50" customWidth="1"/>
    <col min="14347" max="14347" width="20.7109375" style="50" customWidth="1"/>
    <col min="14348" max="14348" width="25" style="50" customWidth="1"/>
    <col min="14349" max="14583" width="9.140625" style="50" customWidth="1"/>
    <col min="14584" max="14584" width="6" style="50" customWidth="1"/>
    <col min="14585" max="14585" width="50.28515625" style="50" customWidth="1"/>
    <col min="14586" max="14587" width="0" style="50" hidden="1" customWidth="1"/>
    <col min="14588" max="14588" width="20.7109375" style="50" customWidth="1"/>
    <col min="14589" max="14589" width="23.28515625" style="50" customWidth="1"/>
    <col min="14590" max="14599" width="23.28515625" style="50"/>
    <col min="14600" max="14600" width="13.140625" style="50" customWidth="1"/>
    <col min="14601" max="14601" width="58" style="50" customWidth="1"/>
    <col min="14602" max="14602" width="25" style="50" customWidth="1"/>
    <col min="14603" max="14603" width="20.7109375" style="50" customWidth="1"/>
    <col min="14604" max="14604" width="25" style="50" customWidth="1"/>
    <col min="14605" max="14839" width="9.140625" style="50" customWidth="1"/>
    <col min="14840" max="14840" width="6" style="50" customWidth="1"/>
    <col min="14841" max="14841" width="50.28515625" style="50" customWidth="1"/>
    <col min="14842" max="14843" width="0" style="50" hidden="1" customWidth="1"/>
    <col min="14844" max="14844" width="20.7109375" style="50" customWidth="1"/>
    <col min="14845" max="14845" width="23.28515625" style="50" customWidth="1"/>
    <col min="14846" max="14855" width="23.28515625" style="50"/>
    <col min="14856" max="14856" width="13.140625" style="50" customWidth="1"/>
    <col min="14857" max="14857" width="58" style="50" customWidth="1"/>
    <col min="14858" max="14858" width="25" style="50" customWidth="1"/>
    <col min="14859" max="14859" width="20.7109375" style="50" customWidth="1"/>
    <col min="14860" max="14860" width="25" style="50" customWidth="1"/>
    <col min="14861" max="15095" width="9.140625" style="50" customWidth="1"/>
    <col min="15096" max="15096" width="6" style="50" customWidth="1"/>
    <col min="15097" max="15097" width="50.28515625" style="50" customWidth="1"/>
    <col min="15098" max="15099" width="0" style="50" hidden="1" customWidth="1"/>
    <col min="15100" max="15100" width="20.7109375" style="50" customWidth="1"/>
    <col min="15101" max="15101" width="23.28515625" style="50" customWidth="1"/>
    <col min="15102" max="15111" width="23.28515625" style="50"/>
    <col min="15112" max="15112" width="13.140625" style="50" customWidth="1"/>
    <col min="15113" max="15113" width="58" style="50" customWidth="1"/>
    <col min="15114" max="15114" width="25" style="50" customWidth="1"/>
    <col min="15115" max="15115" width="20.7109375" style="50" customWidth="1"/>
    <col min="15116" max="15116" width="25" style="50" customWidth="1"/>
    <col min="15117" max="15351" width="9.140625" style="50" customWidth="1"/>
    <col min="15352" max="15352" width="6" style="50" customWidth="1"/>
    <col min="15353" max="15353" width="50.28515625" style="50" customWidth="1"/>
    <col min="15354" max="15355" width="0" style="50" hidden="1" customWidth="1"/>
    <col min="15356" max="15356" width="20.7109375" style="50" customWidth="1"/>
    <col min="15357" max="15357" width="23.28515625" style="50" customWidth="1"/>
    <col min="15358" max="15367" width="23.28515625" style="50"/>
    <col min="15368" max="15368" width="13.140625" style="50" customWidth="1"/>
    <col min="15369" max="15369" width="58" style="50" customWidth="1"/>
    <col min="15370" max="15370" width="25" style="50" customWidth="1"/>
    <col min="15371" max="15371" width="20.7109375" style="50" customWidth="1"/>
    <col min="15372" max="15372" width="25" style="50" customWidth="1"/>
    <col min="15373" max="15607" width="9.140625" style="50" customWidth="1"/>
    <col min="15608" max="15608" width="6" style="50" customWidth="1"/>
    <col min="15609" max="15609" width="50.28515625" style="50" customWidth="1"/>
    <col min="15610" max="15611" width="0" style="50" hidden="1" customWidth="1"/>
    <col min="15612" max="15612" width="20.7109375" style="50" customWidth="1"/>
    <col min="15613" max="15613" width="23.28515625" style="50" customWidth="1"/>
    <col min="15614" max="15623" width="23.28515625" style="50"/>
    <col min="15624" max="15624" width="13.140625" style="50" customWidth="1"/>
    <col min="15625" max="15625" width="58" style="50" customWidth="1"/>
    <col min="15626" max="15626" width="25" style="50" customWidth="1"/>
    <col min="15627" max="15627" width="20.7109375" style="50" customWidth="1"/>
    <col min="15628" max="15628" width="25" style="50" customWidth="1"/>
    <col min="15629" max="15863" width="9.140625" style="50" customWidth="1"/>
    <col min="15864" max="15864" width="6" style="50" customWidth="1"/>
    <col min="15865" max="15865" width="50.28515625" style="50" customWidth="1"/>
    <col min="15866" max="15867" width="0" style="50" hidden="1" customWidth="1"/>
    <col min="15868" max="15868" width="20.7109375" style="50" customWidth="1"/>
    <col min="15869" max="15869" width="23.28515625" style="50" customWidth="1"/>
    <col min="15870" max="15879" width="23.28515625" style="50"/>
    <col min="15880" max="15880" width="13.140625" style="50" customWidth="1"/>
    <col min="15881" max="15881" width="58" style="50" customWidth="1"/>
    <col min="15882" max="15882" width="25" style="50" customWidth="1"/>
    <col min="15883" max="15883" width="20.7109375" style="50" customWidth="1"/>
    <col min="15884" max="15884" width="25" style="50" customWidth="1"/>
    <col min="15885" max="16119" width="9.140625" style="50" customWidth="1"/>
    <col min="16120" max="16120" width="6" style="50" customWidth="1"/>
    <col min="16121" max="16121" width="50.28515625" style="50" customWidth="1"/>
    <col min="16122" max="16123" width="0" style="50" hidden="1" customWidth="1"/>
    <col min="16124" max="16124" width="20.7109375" style="50" customWidth="1"/>
    <col min="16125" max="16125" width="23.28515625" style="50" customWidth="1"/>
    <col min="16126" max="16135" width="23.28515625" style="50"/>
    <col min="16136" max="16136" width="13.140625" style="50" customWidth="1"/>
    <col min="16137" max="16137" width="58" style="50" customWidth="1"/>
    <col min="16138" max="16138" width="25" style="50" customWidth="1"/>
    <col min="16139" max="16139" width="20.7109375" style="50" customWidth="1"/>
    <col min="16140" max="16140" width="25" style="50" customWidth="1"/>
    <col min="16141" max="16375" width="9.140625" style="50" customWidth="1"/>
    <col min="16376" max="16376" width="6" style="50" customWidth="1"/>
    <col min="16377" max="16377" width="50.28515625" style="50" customWidth="1"/>
    <col min="16378" max="16379" width="0" style="50" hidden="1" customWidth="1"/>
    <col min="16380" max="16380" width="20.7109375" style="50" customWidth="1"/>
    <col min="16381" max="16381" width="23.28515625" style="50" customWidth="1"/>
    <col min="16382" max="16384" width="23.28515625" style="50"/>
  </cols>
  <sheetData>
    <row r="1" spans="1:253" ht="15.75">
      <c r="A1" s="513" t="s">
        <v>513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</row>
    <row r="2" spans="1:253" ht="15.75">
      <c r="A2" s="513" t="s">
        <v>511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41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</row>
    <row r="3" spans="1:253" ht="15.75">
      <c r="A3" s="513" t="s">
        <v>512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419"/>
    </row>
    <row r="4" spans="1:253" ht="15.75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</row>
    <row r="5" spans="1:253" ht="15.75">
      <c r="A5" s="55" t="s">
        <v>106</v>
      </c>
      <c r="B5" s="56" t="s">
        <v>142</v>
      </c>
      <c r="C5" s="515">
        <v>2008</v>
      </c>
      <c r="D5" s="516"/>
      <c r="E5" s="515">
        <v>2009</v>
      </c>
      <c r="F5" s="516"/>
      <c r="G5" s="517">
        <v>2010</v>
      </c>
      <c r="H5" s="518"/>
      <c r="I5" s="517">
        <v>2011</v>
      </c>
      <c r="J5" s="518"/>
      <c r="K5" s="519">
        <v>2012</v>
      </c>
      <c r="L5" s="519"/>
    </row>
    <row r="6" spans="1:253" ht="15.75">
      <c r="A6" s="58" t="s">
        <v>143</v>
      </c>
      <c r="B6" s="59" t="s">
        <v>144</v>
      </c>
      <c r="C6" s="60">
        <f>+C7+C15</f>
        <v>611356971071</v>
      </c>
      <c r="D6" s="423">
        <f>+D7+D15</f>
        <v>1</v>
      </c>
      <c r="E6" s="60">
        <f t="shared" ref="E6:K6" si="0">+E7+E15</f>
        <v>606966527358</v>
      </c>
      <c r="F6" s="423">
        <f t="shared" ref="F6" si="1">+F7+F15</f>
        <v>1</v>
      </c>
      <c r="G6" s="60">
        <f t="shared" si="0"/>
        <v>662203879316</v>
      </c>
      <c r="H6" s="423">
        <f t="shared" ref="H6" si="2">+H7+H15</f>
        <v>0.99999999999999978</v>
      </c>
      <c r="I6" s="60">
        <f t="shared" si="0"/>
        <v>816160548955</v>
      </c>
      <c r="J6" s="423">
        <f t="shared" ref="J6" si="3">+J7+J15</f>
        <v>1</v>
      </c>
      <c r="K6" s="60">
        <f t="shared" si="0"/>
        <v>956324159986</v>
      </c>
      <c r="L6" s="423">
        <f t="shared" ref="L6" si="4">+L7+L15</f>
        <v>1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</row>
    <row r="7" spans="1:253" ht="15.75">
      <c r="A7" s="58" t="s">
        <v>145</v>
      </c>
      <c r="B7" s="59" t="s">
        <v>0</v>
      </c>
      <c r="C7" s="60">
        <f>SUM(C8:C14)</f>
        <v>410463264154</v>
      </c>
      <c r="D7" s="423">
        <f>SUM(D8:D14)</f>
        <v>0.67139704555087321</v>
      </c>
      <c r="E7" s="60">
        <f t="shared" ref="E7:K7" si="5">SUM(E8:E14)</f>
        <v>433902643778</v>
      </c>
      <c r="F7" s="423">
        <f t="shared" ref="F7" si="6">SUM(F8:F14)</f>
        <v>0.71487079471530113</v>
      </c>
      <c r="G7" s="60">
        <f t="shared" si="5"/>
        <v>523968868116</v>
      </c>
      <c r="H7" s="423">
        <f t="shared" ref="H7" si="7">SUM(H8:H14)</f>
        <v>0.79125007340218989</v>
      </c>
      <c r="I7" s="60">
        <f t="shared" si="5"/>
        <v>600658730241</v>
      </c>
      <c r="J7" s="423">
        <f t="shared" ref="J7" si="8">SUM(J8:J14)</f>
        <v>0.73595658477988757</v>
      </c>
      <c r="K7" s="60">
        <f t="shared" si="5"/>
        <v>639977390628</v>
      </c>
      <c r="L7" s="423">
        <f t="shared" ref="L7" si="9">SUM(L8:L14)</f>
        <v>0.66920550311870075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</row>
    <row r="8" spans="1:253" ht="15.75">
      <c r="A8" s="61" t="s">
        <v>146</v>
      </c>
      <c r="B8" s="62" t="s">
        <v>5</v>
      </c>
      <c r="C8" s="63">
        <v>309926055084</v>
      </c>
      <c r="D8" s="424">
        <f>+C8/C$6</f>
        <v>0.50694777314971795</v>
      </c>
      <c r="E8" s="64">
        <v>339675023000</v>
      </c>
      <c r="F8" s="424">
        <f>+E8/E$6</f>
        <v>0.55962727381118571</v>
      </c>
      <c r="G8" s="65">
        <v>420371009427</v>
      </c>
      <c r="H8" s="426">
        <f>+G8/G$6</f>
        <v>0.63480602055851332</v>
      </c>
      <c r="I8" s="65">
        <v>474666829278</v>
      </c>
      <c r="J8" s="426">
        <f>+I8/I$6</f>
        <v>0.58158511813117708</v>
      </c>
      <c r="K8" s="63">
        <v>540996735761</v>
      </c>
      <c r="L8" s="429">
        <f>+K8/K$6</f>
        <v>0.56570434837588945</v>
      </c>
    </row>
    <row r="9" spans="1:253" ht="15.75">
      <c r="A9" s="66" t="s">
        <v>147</v>
      </c>
      <c r="B9" s="67" t="s">
        <v>6</v>
      </c>
      <c r="C9" s="68">
        <v>3360639</v>
      </c>
      <c r="D9" s="424">
        <f t="shared" ref="D9:D18" si="10">+C9/C$6</f>
        <v>5.4970159154523023E-6</v>
      </c>
      <c r="E9" s="68">
        <v>0</v>
      </c>
      <c r="F9" s="424">
        <f t="shared" ref="F9:F18" si="11">+E9/E$6</f>
        <v>0</v>
      </c>
      <c r="G9" s="69">
        <v>0</v>
      </c>
      <c r="H9" s="426">
        <f t="shared" ref="H9:H18" si="12">+G9/G$6</f>
        <v>0</v>
      </c>
      <c r="I9" s="69"/>
      <c r="J9" s="426">
        <f t="shared" ref="J9:J18" si="13">+I9/I$6</f>
        <v>0</v>
      </c>
      <c r="K9" s="68">
        <v>0</v>
      </c>
      <c r="L9" s="430">
        <f t="shared" ref="L9:L18" si="14">+K9/K$6</f>
        <v>0</v>
      </c>
    </row>
    <row r="10" spans="1:253" ht="15.75">
      <c r="A10" s="66" t="s">
        <v>148</v>
      </c>
      <c r="B10" s="67" t="s">
        <v>149</v>
      </c>
      <c r="C10" s="68">
        <v>17715623937</v>
      </c>
      <c r="D10" s="424">
        <f t="shared" si="10"/>
        <v>2.897754466750424E-2</v>
      </c>
      <c r="E10" s="68">
        <v>36944486475</v>
      </c>
      <c r="F10" s="424">
        <f t="shared" si="11"/>
        <v>6.0867419881968983E-2</v>
      </c>
      <c r="G10" s="70">
        <v>39298203555</v>
      </c>
      <c r="H10" s="426">
        <f t="shared" si="12"/>
        <v>5.9344568617737008E-2</v>
      </c>
      <c r="I10" s="70">
        <v>60528447883</v>
      </c>
      <c r="J10" s="426">
        <f t="shared" si="13"/>
        <v>7.4162427919972046E-2</v>
      </c>
      <c r="K10" s="68">
        <v>40922373670</v>
      </c>
      <c r="L10" s="430">
        <f t="shared" si="14"/>
        <v>4.2791320539887941E-2</v>
      </c>
    </row>
    <row r="11" spans="1:253" ht="15.75">
      <c r="A11" s="66" t="s">
        <v>150</v>
      </c>
      <c r="B11" s="67" t="s">
        <v>151</v>
      </c>
      <c r="C11" s="68">
        <v>31639516025</v>
      </c>
      <c r="D11" s="424">
        <f t="shared" si="10"/>
        <v>5.1752932447261722E-2</v>
      </c>
      <c r="E11" s="68">
        <v>10889005170</v>
      </c>
      <c r="F11" s="424">
        <f t="shared" si="11"/>
        <v>1.7940042290960578E-2</v>
      </c>
      <c r="G11" s="70">
        <v>19022496861</v>
      </c>
      <c r="H11" s="426">
        <f t="shared" si="12"/>
        <v>2.8726042620965335E-2</v>
      </c>
      <c r="I11" s="70">
        <v>20885382630</v>
      </c>
      <c r="J11" s="426">
        <f t="shared" si="13"/>
        <v>2.5589796831936237E-2</v>
      </c>
      <c r="K11" s="68">
        <v>14132312373</v>
      </c>
      <c r="L11" s="430">
        <f t="shared" si="14"/>
        <v>1.4777742698884537E-2</v>
      </c>
    </row>
    <row r="12" spans="1:253" ht="15.75">
      <c r="A12" s="66" t="s">
        <v>152</v>
      </c>
      <c r="B12" s="67" t="s">
        <v>153</v>
      </c>
      <c r="C12" s="68">
        <v>48562970</v>
      </c>
      <c r="D12" s="424">
        <f t="shared" si="10"/>
        <v>7.9434720299214736E-5</v>
      </c>
      <c r="E12" s="68">
        <v>47964785</v>
      </c>
      <c r="F12" s="424">
        <f t="shared" si="11"/>
        <v>7.9023772873902632E-5</v>
      </c>
      <c r="G12" s="70">
        <v>53705198</v>
      </c>
      <c r="H12" s="426">
        <f t="shared" si="12"/>
        <v>8.1100699765565974E-5</v>
      </c>
      <c r="I12" s="70">
        <v>4298707350</v>
      </c>
      <c r="J12" s="426">
        <f t="shared" si="13"/>
        <v>5.2669874272947914E-3</v>
      </c>
      <c r="K12" s="68">
        <v>4899805654</v>
      </c>
      <c r="L12" s="430">
        <f t="shared" si="14"/>
        <v>5.1235824200778638E-3</v>
      </c>
    </row>
    <row r="13" spans="1:253" ht="15.75">
      <c r="A13" s="66" t="s">
        <v>154</v>
      </c>
      <c r="B13" s="67" t="s">
        <v>155</v>
      </c>
      <c r="C13" s="68">
        <v>51004053999</v>
      </c>
      <c r="D13" s="424">
        <f t="shared" si="10"/>
        <v>8.3427614981880435E-2</v>
      </c>
      <c r="E13" s="68">
        <v>45425697933</v>
      </c>
      <c r="F13" s="424">
        <f t="shared" si="11"/>
        <v>7.4840532196608411E-2</v>
      </c>
      <c r="G13" s="70">
        <v>43821596815</v>
      </c>
      <c r="H13" s="426">
        <f t="shared" si="12"/>
        <v>6.6175385230699588E-2</v>
      </c>
      <c r="I13" s="70">
        <v>39285513100</v>
      </c>
      <c r="J13" s="426">
        <f t="shared" si="13"/>
        <v>4.8134540624758936E-2</v>
      </c>
      <c r="K13" s="68">
        <v>38744388450</v>
      </c>
      <c r="L13" s="430">
        <f t="shared" si="14"/>
        <v>4.0513865560572258E-2</v>
      </c>
    </row>
    <row r="14" spans="1:253" ht="15.75">
      <c r="A14" s="71" t="s">
        <v>156</v>
      </c>
      <c r="B14" s="72" t="s">
        <v>157</v>
      </c>
      <c r="C14" s="73">
        <v>126091500</v>
      </c>
      <c r="D14" s="424">
        <f t="shared" si="10"/>
        <v>2.0624856829408157E-4</v>
      </c>
      <c r="E14" s="73">
        <v>920466415</v>
      </c>
      <c r="F14" s="424">
        <f t="shared" si="11"/>
        <v>1.5165027617035165E-3</v>
      </c>
      <c r="G14" s="74">
        <v>1401856260</v>
      </c>
      <c r="H14" s="426">
        <f t="shared" si="12"/>
        <v>2.1169556745091822E-3</v>
      </c>
      <c r="I14" s="74">
        <v>993850000</v>
      </c>
      <c r="J14" s="426">
        <f t="shared" si="13"/>
        <v>1.2177138447484518E-3</v>
      </c>
      <c r="K14" s="73">
        <v>281774720</v>
      </c>
      <c r="L14" s="431">
        <f t="shared" si="14"/>
        <v>2.946435233886855E-4</v>
      </c>
    </row>
    <row r="15" spans="1:253" ht="15.75">
      <c r="A15" s="58" t="s">
        <v>158</v>
      </c>
      <c r="B15" s="59" t="s">
        <v>1</v>
      </c>
      <c r="C15" s="60">
        <f>SUM(C16:C18)</f>
        <v>200893706917</v>
      </c>
      <c r="D15" s="423">
        <f>SUM(D16:D18)</f>
        <v>0.3286029544491269</v>
      </c>
      <c r="E15" s="60">
        <f t="shared" ref="E15:L15" si="15">SUM(E16:E18)</f>
        <v>173063883580</v>
      </c>
      <c r="F15" s="423">
        <f t="shared" si="15"/>
        <v>0.28512920528469893</v>
      </c>
      <c r="G15" s="75">
        <f t="shared" si="15"/>
        <v>138235011200</v>
      </c>
      <c r="H15" s="427">
        <f t="shared" si="15"/>
        <v>0.20874992659780994</v>
      </c>
      <c r="I15" s="60">
        <f t="shared" si="15"/>
        <v>215501818714</v>
      </c>
      <c r="J15" s="423">
        <f t="shared" si="15"/>
        <v>0.26404341522011249</v>
      </c>
      <c r="K15" s="60">
        <f t="shared" si="15"/>
        <v>316346769358</v>
      </c>
      <c r="L15" s="423">
        <f t="shared" si="15"/>
        <v>0.33079449688129925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</row>
    <row r="16" spans="1:253" ht="15.75">
      <c r="A16" s="61" t="s">
        <v>159</v>
      </c>
      <c r="B16" s="62" t="s">
        <v>5</v>
      </c>
      <c r="C16" s="63">
        <v>21599073361</v>
      </c>
      <c r="D16" s="424">
        <f t="shared" si="10"/>
        <v>3.5329724503119456E-2</v>
      </c>
      <c r="E16" s="64">
        <v>19694364002</v>
      </c>
      <c r="F16" s="424">
        <f t="shared" si="11"/>
        <v>3.2447199498340545E-2</v>
      </c>
      <c r="G16" s="65">
        <v>21182523181</v>
      </c>
      <c r="H16" s="426">
        <f t="shared" si="12"/>
        <v>3.1987917683115562E-2</v>
      </c>
      <c r="I16" s="65">
        <v>30724881425</v>
      </c>
      <c r="J16" s="426">
        <f t="shared" si="13"/>
        <v>3.7645634139434558E-2</v>
      </c>
      <c r="K16" s="63">
        <v>32489153703</v>
      </c>
      <c r="L16" s="429">
        <f t="shared" si="14"/>
        <v>3.3972950870001677E-2</v>
      </c>
    </row>
    <row r="17" spans="1:12" ht="15.75">
      <c r="A17" s="66" t="s">
        <v>160</v>
      </c>
      <c r="B17" s="67" t="s">
        <v>161</v>
      </c>
      <c r="C17" s="68">
        <v>60156883340</v>
      </c>
      <c r="D17" s="424">
        <f t="shared" si="10"/>
        <v>9.8398948873707495E-2</v>
      </c>
      <c r="E17" s="68">
        <v>58263468211</v>
      </c>
      <c r="F17" s="424">
        <f t="shared" si="11"/>
        <v>9.5991237712248892E-2</v>
      </c>
      <c r="G17" s="70">
        <v>72218629606</v>
      </c>
      <c r="H17" s="426">
        <f t="shared" si="12"/>
        <v>0.1090579983925731</v>
      </c>
      <c r="I17" s="70">
        <v>91742510291</v>
      </c>
      <c r="J17" s="426">
        <f t="shared" si="13"/>
        <v>0.11240743063171305</v>
      </c>
      <c r="K17" s="68">
        <v>121777498747</v>
      </c>
      <c r="L17" s="430">
        <f t="shared" si="14"/>
        <v>0.12733914277433162</v>
      </c>
    </row>
    <row r="18" spans="1:12" s="54" customFormat="1" ht="15.75">
      <c r="A18" s="71" t="s">
        <v>162</v>
      </c>
      <c r="B18" s="72" t="s">
        <v>163</v>
      </c>
      <c r="C18" s="73">
        <v>119137750216</v>
      </c>
      <c r="D18" s="425">
        <f t="shared" si="10"/>
        <v>0.19487428107229995</v>
      </c>
      <c r="E18" s="73">
        <v>95106051367</v>
      </c>
      <c r="F18" s="425">
        <f t="shared" si="11"/>
        <v>0.15669076807410948</v>
      </c>
      <c r="G18" s="74">
        <v>44833858413</v>
      </c>
      <c r="H18" s="428">
        <f t="shared" si="12"/>
        <v>6.7704010522121286E-2</v>
      </c>
      <c r="I18" s="74">
        <v>93034426998</v>
      </c>
      <c r="J18" s="428">
        <f t="shared" si="13"/>
        <v>0.11399035044896487</v>
      </c>
      <c r="K18" s="73">
        <v>162080116908</v>
      </c>
      <c r="L18" s="431">
        <f t="shared" si="14"/>
        <v>0.16948240323696595</v>
      </c>
    </row>
    <row r="19" spans="1:12" s="54" customFormat="1" ht="15.75">
      <c r="A19" s="76"/>
      <c r="B19" s="77"/>
      <c r="C19" s="53"/>
      <c r="D19" s="53"/>
      <c r="E19" s="53"/>
      <c r="F19" s="53"/>
    </row>
    <row r="20" spans="1:12" s="54" customFormat="1" ht="20.100000000000001" customHeight="1">
      <c r="A20" s="51"/>
      <c r="B20" s="52"/>
      <c r="C20" s="53"/>
      <c r="D20" s="53"/>
      <c r="E20" s="53"/>
      <c r="F20" s="53"/>
      <c r="G20" s="78"/>
      <c r="H20" s="78"/>
      <c r="I20" s="78"/>
      <c r="J20" s="78"/>
      <c r="K20" s="79"/>
      <c r="L20" s="79"/>
    </row>
    <row r="21" spans="1:12" s="54" customFormat="1" ht="20.100000000000001" customHeight="1">
      <c r="A21" s="51"/>
      <c r="B21" s="52"/>
      <c r="C21" s="80"/>
      <c r="D21" s="80"/>
      <c r="E21" s="80"/>
      <c r="F21" s="80"/>
      <c r="G21" s="79"/>
      <c r="H21" s="79"/>
      <c r="I21" s="79"/>
      <c r="J21" s="79"/>
      <c r="K21" s="81"/>
      <c r="L21" s="81"/>
    </row>
    <row r="22" spans="1:12" s="54" customFormat="1" ht="20.100000000000001" customHeight="1">
      <c r="A22" s="51"/>
      <c r="B22" s="52"/>
      <c r="C22" s="80" t="s">
        <v>139</v>
      </c>
      <c r="D22" s="80"/>
      <c r="E22" s="80"/>
      <c r="F22" s="80"/>
      <c r="G22" s="79"/>
      <c r="H22" s="79"/>
      <c r="I22" s="79"/>
      <c r="J22" s="79"/>
      <c r="K22" s="81">
        <v>15000000</v>
      </c>
      <c r="L22" s="81"/>
    </row>
    <row r="23" spans="1:12" s="54" customFormat="1" ht="20.100000000000001" customHeight="1">
      <c r="A23" s="51"/>
      <c r="B23" s="52"/>
      <c r="C23" s="80" t="s">
        <v>139</v>
      </c>
      <c r="D23" s="80"/>
      <c r="E23" s="80"/>
      <c r="F23" s="80"/>
      <c r="G23" s="79"/>
      <c r="H23" s="79"/>
      <c r="I23" s="79"/>
      <c r="J23" s="79"/>
      <c r="K23" s="81">
        <v>25000000</v>
      </c>
      <c r="L23" s="81"/>
    </row>
    <row r="24" spans="1:12" s="54" customFormat="1" ht="20.100000000000001" customHeight="1">
      <c r="A24" s="51"/>
      <c r="B24" s="52"/>
      <c r="C24" s="80"/>
      <c r="D24" s="80"/>
      <c r="E24" s="80"/>
      <c r="F24" s="80"/>
      <c r="G24" s="81"/>
      <c r="H24" s="81"/>
      <c r="I24" s="81"/>
      <c r="J24" s="81"/>
      <c r="K24" s="79"/>
      <c r="L24" s="79"/>
    </row>
    <row r="25" spans="1:12" s="54" customFormat="1" ht="20.100000000000001" customHeight="1">
      <c r="A25" s="51"/>
      <c r="B25" s="52"/>
      <c r="C25" s="80"/>
      <c r="D25" s="80"/>
      <c r="E25" s="80"/>
      <c r="F25" s="80"/>
      <c r="G25" s="81">
        <f>SUM(G20:G24)</f>
        <v>0</v>
      </c>
      <c r="H25" s="81"/>
      <c r="I25" s="81"/>
      <c r="J25" s="81"/>
      <c r="K25" s="81">
        <f>SUM(K20:K24)</f>
        <v>40000000</v>
      </c>
      <c r="L25" s="81"/>
    </row>
    <row r="26" spans="1:12" s="54" customFormat="1" ht="20.100000000000001" customHeight="1">
      <c r="A26" s="51"/>
      <c r="B26" s="52"/>
      <c r="C26" s="80"/>
      <c r="D26" s="80"/>
      <c r="E26" s="80"/>
      <c r="F26" s="80"/>
      <c r="G26" s="79"/>
      <c r="H26" s="79"/>
      <c r="I26" s="79"/>
      <c r="J26" s="79"/>
      <c r="K26" s="79"/>
      <c r="L26" s="79"/>
    </row>
    <row r="27" spans="1:12" s="54" customFormat="1" ht="20.100000000000001" customHeight="1">
      <c r="A27" s="51"/>
      <c r="B27" s="52"/>
      <c r="C27" s="80"/>
      <c r="D27" s="80"/>
      <c r="E27" s="80"/>
      <c r="F27" s="80"/>
      <c r="G27" s="514">
        <f>K25+G25</f>
        <v>40000000</v>
      </c>
      <c r="H27" s="514"/>
      <c r="I27" s="514"/>
      <c r="J27" s="514"/>
      <c r="K27" s="514"/>
      <c r="L27" s="420"/>
    </row>
    <row r="28" spans="1:12" s="54" customFormat="1" ht="20.100000000000001" customHeight="1">
      <c r="A28" s="51"/>
      <c r="B28" s="52"/>
      <c r="C28" s="80"/>
      <c r="D28" s="80"/>
      <c r="E28" s="80"/>
      <c r="F28" s="80"/>
      <c r="G28" s="79"/>
      <c r="H28" s="79"/>
      <c r="I28" s="79"/>
      <c r="J28" s="79"/>
      <c r="K28" s="79"/>
      <c r="L28" s="79"/>
    </row>
    <row r="29" spans="1:12" s="54" customFormat="1" ht="20.100000000000001" customHeight="1">
      <c r="A29" s="51"/>
      <c r="B29" s="52"/>
      <c r="C29" s="80"/>
      <c r="D29" s="80"/>
      <c r="E29" s="80"/>
      <c r="F29" s="80"/>
      <c r="G29" s="79"/>
      <c r="H29" s="79"/>
      <c r="I29" s="79"/>
      <c r="J29" s="79"/>
      <c r="K29" s="79"/>
      <c r="L29" s="79"/>
    </row>
  </sheetData>
  <mergeCells count="9">
    <mergeCell ref="A1:L1"/>
    <mergeCell ref="A2:L2"/>
    <mergeCell ref="A3:L3"/>
    <mergeCell ref="G27:K27"/>
    <mergeCell ref="C5:D5"/>
    <mergeCell ref="E5:F5"/>
    <mergeCell ref="G5:H5"/>
    <mergeCell ref="K5:L5"/>
    <mergeCell ref="I5:J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H15"/>
  <sheetViews>
    <sheetView workbookViewId="0">
      <selection activeCell="B5" sqref="B5:H15"/>
    </sheetView>
  </sheetViews>
  <sheetFormatPr defaultRowHeight="15"/>
  <cols>
    <col min="2" max="2" width="4.85546875" customWidth="1"/>
    <col min="3" max="3" width="46.85546875" customWidth="1"/>
    <col min="4" max="4" width="18.42578125" style="3" customWidth="1"/>
    <col min="5" max="8" width="17.140625" style="3" customWidth="1"/>
  </cols>
  <sheetData>
    <row r="1" spans="2:8" ht="15.75">
      <c r="B1" s="513" t="s">
        <v>513</v>
      </c>
      <c r="C1" s="513"/>
      <c r="D1" s="513"/>
      <c r="E1" s="513"/>
      <c r="F1" s="513"/>
      <c r="G1" s="513"/>
      <c r="H1" s="513"/>
    </row>
    <row r="2" spans="2:8" ht="15.75">
      <c r="B2" s="513" t="s">
        <v>511</v>
      </c>
      <c r="C2" s="513"/>
      <c r="D2" s="513"/>
      <c r="E2" s="513"/>
      <c r="F2" s="513"/>
      <c r="G2" s="513"/>
      <c r="H2" s="513"/>
    </row>
    <row r="3" spans="2:8" ht="15.75">
      <c r="B3" s="513" t="s">
        <v>512</v>
      </c>
      <c r="C3" s="513"/>
      <c r="D3" s="513"/>
      <c r="E3" s="513"/>
      <c r="F3" s="513"/>
      <c r="G3" s="513"/>
      <c r="H3" s="513"/>
    </row>
    <row r="5" spans="2:8" ht="15.75">
      <c r="B5" s="58" t="s">
        <v>515</v>
      </c>
      <c r="C5" s="433" t="s">
        <v>514</v>
      </c>
      <c r="D5" s="434">
        <v>2008</v>
      </c>
      <c r="E5" s="434">
        <v>2009</v>
      </c>
      <c r="F5" s="434">
        <v>2010</v>
      </c>
      <c r="G5" s="434">
        <v>2011</v>
      </c>
      <c r="H5" s="434">
        <v>2012</v>
      </c>
    </row>
    <row r="6" spans="2:8">
      <c r="B6" s="433"/>
      <c r="C6" s="435"/>
      <c r="D6" s="434"/>
      <c r="E6" s="434"/>
      <c r="F6" s="434"/>
      <c r="G6" s="434"/>
      <c r="H6" s="434"/>
    </row>
    <row r="7" spans="2:8">
      <c r="B7" s="436" t="s">
        <v>516</v>
      </c>
      <c r="C7" s="437" t="s">
        <v>0</v>
      </c>
      <c r="D7" s="438">
        <f>+D8</f>
        <v>309926055084</v>
      </c>
      <c r="E7" s="438">
        <f t="shared" ref="E7:H7" si="0">+E8</f>
        <v>339675023000</v>
      </c>
      <c r="F7" s="438">
        <f t="shared" si="0"/>
        <v>420371009427</v>
      </c>
      <c r="G7" s="438">
        <f t="shared" si="0"/>
        <v>474666829278</v>
      </c>
      <c r="H7" s="438">
        <f t="shared" si="0"/>
        <v>540996735761</v>
      </c>
    </row>
    <row r="8" spans="2:8">
      <c r="B8" s="436">
        <v>1</v>
      </c>
      <c r="C8" s="437" t="s">
        <v>5</v>
      </c>
      <c r="D8" s="438">
        <f>+'Realisasi Belanja'!C8</f>
        <v>309926055084</v>
      </c>
      <c r="E8" s="438">
        <f>+'Realisasi Belanja'!E8</f>
        <v>339675023000</v>
      </c>
      <c r="F8" s="438">
        <f>+'Realisasi Belanja'!G8</f>
        <v>420371009427</v>
      </c>
      <c r="G8" s="438">
        <f>+'Realisasi Belanja'!I8</f>
        <v>474666829278</v>
      </c>
      <c r="H8" s="438">
        <f>+'Realisasi Belanja'!K8</f>
        <v>540996735761</v>
      </c>
    </row>
    <row r="9" spans="2:8">
      <c r="B9" s="436"/>
      <c r="C9" s="437"/>
      <c r="D9" s="438"/>
      <c r="E9" s="438"/>
      <c r="F9" s="438"/>
      <c r="G9" s="438"/>
      <c r="H9" s="438"/>
    </row>
    <row r="10" spans="2:8">
      <c r="B10" s="436" t="s">
        <v>517</v>
      </c>
      <c r="C10" s="437" t="s">
        <v>1</v>
      </c>
      <c r="D10" s="438">
        <f>+D11+D12+D13</f>
        <v>38316992462</v>
      </c>
      <c r="E10" s="438">
        <f t="shared" ref="E10:H10" si="1">+E11+E12+E13</f>
        <v>36637913819</v>
      </c>
      <c r="F10" s="438">
        <f t="shared" si="1"/>
        <v>62876066056</v>
      </c>
      <c r="G10" s="438">
        <f t="shared" si="1"/>
        <v>38129026411</v>
      </c>
      <c r="H10" s="438">
        <f t="shared" si="1"/>
        <v>35495947796</v>
      </c>
    </row>
    <row r="11" spans="2:8">
      <c r="B11" s="436">
        <v>1</v>
      </c>
      <c r="C11" s="437" t="s">
        <v>28</v>
      </c>
      <c r="D11" s="438">
        <f>+'rekap blj wajib'!D80</f>
        <v>27971475243</v>
      </c>
      <c r="E11" s="438">
        <f>+'rekap blj wajib'!G80</f>
        <v>29479384452</v>
      </c>
      <c r="F11" s="438">
        <f>+'rekap blj wajib'!J80</f>
        <v>30821916353</v>
      </c>
      <c r="G11" s="438">
        <f>+'rekap blj wajib'!M80</f>
        <v>33772128361</v>
      </c>
      <c r="H11" s="438">
        <f>+'rekap blj wajib'!P80</f>
        <v>24438598684</v>
      </c>
    </row>
    <row r="12" spans="2:8">
      <c r="B12" s="436">
        <v>2</v>
      </c>
      <c r="C12" s="437" t="s">
        <v>29</v>
      </c>
      <c r="D12" s="438">
        <f>+'rekap blj wajib'!E80</f>
        <v>8717111119</v>
      </c>
      <c r="E12" s="438">
        <f>+'rekap blj wajib'!H80</f>
        <v>6769132367</v>
      </c>
      <c r="F12" s="438">
        <f>+'rekap blj wajib'!J80</f>
        <v>30821916353</v>
      </c>
      <c r="G12" s="438">
        <f>+'rekap blj wajib'!N80</f>
        <v>4123044550</v>
      </c>
      <c r="H12" s="438">
        <f>+'rekap blj wajib'!Q80</f>
        <v>9449623362</v>
      </c>
    </row>
    <row r="13" spans="2:8">
      <c r="B13" s="436">
        <v>3</v>
      </c>
      <c r="C13" s="437" t="s">
        <v>30</v>
      </c>
      <c r="D13" s="438">
        <f>+'rekap blj wajib'!F80</f>
        <v>1628406100</v>
      </c>
      <c r="E13" s="438">
        <f>+'rekap blj wajib'!I80</f>
        <v>389397000</v>
      </c>
      <c r="F13" s="438">
        <f>+'rekap blj wajib'!L80</f>
        <v>1232233350</v>
      </c>
      <c r="G13" s="438">
        <f>+'rekap blj wajib'!O80</f>
        <v>233853500</v>
      </c>
      <c r="H13" s="438">
        <f>+'rekap blj wajib'!R80</f>
        <v>1607725750</v>
      </c>
    </row>
    <row r="14" spans="2:8">
      <c r="B14" s="436"/>
      <c r="C14" s="437"/>
      <c r="D14" s="438"/>
      <c r="E14" s="438"/>
      <c r="F14" s="438"/>
      <c r="G14" s="438"/>
      <c r="H14" s="438"/>
    </row>
    <row r="15" spans="2:8">
      <c r="B15" s="437"/>
      <c r="C15" s="433" t="s">
        <v>508</v>
      </c>
      <c r="D15" s="440">
        <f>+D7+D10</f>
        <v>348243047546</v>
      </c>
      <c r="E15" s="440">
        <f t="shared" ref="E15:H15" si="2">+E7+E10</f>
        <v>376312936819</v>
      </c>
      <c r="F15" s="440">
        <f t="shared" si="2"/>
        <v>483247075483</v>
      </c>
      <c r="G15" s="440">
        <f t="shared" si="2"/>
        <v>512795855689</v>
      </c>
      <c r="H15" s="440">
        <f t="shared" si="2"/>
        <v>576492683557</v>
      </c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4:G16"/>
  <sheetViews>
    <sheetView zoomScale="130" zoomScaleNormal="130" workbookViewId="0">
      <selection activeCell="C8" sqref="C8:G16"/>
    </sheetView>
  </sheetViews>
  <sheetFormatPr defaultRowHeight="15"/>
  <cols>
    <col min="3" max="3" width="6.140625" customWidth="1"/>
    <col min="4" max="4" width="22.5703125" customWidth="1"/>
    <col min="5" max="5" width="29.42578125" customWidth="1"/>
    <col min="6" max="6" width="36.85546875" customWidth="1"/>
    <col min="7" max="7" width="14.140625" customWidth="1"/>
  </cols>
  <sheetData>
    <row r="4" spans="3:7">
      <c r="C4" s="521" t="s">
        <v>518</v>
      </c>
      <c r="D4" s="521"/>
      <c r="E4" s="521"/>
      <c r="F4" s="521"/>
      <c r="G4" s="521"/>
    </row>
    <row r="5" spans="3:7">
      <c r="C5" s="521" t="s">
        <v>511</v>
      </c>
      <c r="D5" s="521"/>
      <c r="E5" s="521"/>
      <c r="F5" s="521"/>
      <c r="G5" s="521"/>
    </row>
    <row r="6" spans="3:7">
      <c r="C6" s="521" t="s">
        <v>512</v>
      </c>
      <c r="D6" s="521"/>
      <c r="E6" s="521"/>
      <c r="F6" s="521"/>
      <c r="G6" s="521"/>
    </row>
    <row r="8" spans="3:7">
      <c r="C8" s="520" t="s">
        <v>524</v>
      </c>
      <c r="D8" s="520" t="s">
        <v>142</v>
      </c>
      <c r="E8" s="443" t="s">
        <v>525</v>
      </c>
      <c r="F8" s="443" t="s">
        <v>527</v>
      </c>
      <c r="G8" s="520" t="s">
        <v>529</v>
      </c>
    </row>
    <row r="9" spans="3:7">
      <c r="C9" s="520"/>
      <c r="D9" s="520"/>
      <c r="E9" s="444" t="s">
        <v>526</v>
      </c>
      <c r="F9" s="444" t="s">
        <v>528</v>
      </c>
      <c r="G9" s="520"/>
    </row>
    <row r="10" spans="3:7">
      <c r="C10" s="437"/>
      <c r="D10" s="437"/>
      <c r="E10" s="437"/>
      <c r="F10" s="437"/>
      <c r="G10" s="437"/>
    </row>
    <row r="11" spans="3:7">
      <c r="C11" s="441">
        <v>1</v>
      </c>
      <c r="D11" s="441" t="s">
        <v>519</v>
      </c>
      <c r="E11" s="438">
        <f>+'Realisasi aparatur'!D15</f>
        <v>348243047546</v>
      </c>
      <c r="F11" s="438">
        <f>+'Realisasi Belanja'!C6+'Realisasi pembiayaan'!C14</f>
        <v>617042475207</v>
      </c>
      <c r="G11" s="442">
        <f>+E11/F11</f>
        <v>0.56437451478388823</v>
      </c>
    </row>
    <row r="12" spans="3:7">
      <c r="C12" s="441">
        <v>2</v>
      </c>
      <c r="D12" s="441" t="s">
        <v>520</v>
      </c>
      <c r="E12" s="438">
        <f>+'Realisasi aparatur'!E15</f>
        <v>376312936819</v>
      </c>
      <c r="F12" s="438">
        <f>+'Realisasi Belanja'!E6+'Realisasi pembiayaan'!D14</f>
        <v>616205294407</v>
      </c>
      <c r="G12" s="442">
        <f t="shared" ref="G12:G15" si="0">+E12/F12</f>
        <v>0.61069409859767854</v>
      </c>
    </row>
    <row r="13" spans="3:7">
      <c r="C13" s="441">
        <v>3</v>
      </c>
      <c r="D13" s="441" t="s">
        <v>521</v>
      </c>
      <c r="E13" s="438">
        <f>+'Realisasi aparatur'!F15</f>
        <v>483247075483</v>
      </c>
      <c r="F13" s="438">
        <f>+'Realisasi Belanja'!G6+'Realisasi pembiayaan'!E14</f>
        <v>669631071916</v>
      </c>
      <c r="G13" s="442">
        <f t="shared" si="0"/>
        <v>0.72166166677465582</v>
      </c>
    </row>
    <row r="14" spans="3:7">
      <c r="C14" s="441">
        <v>4</v>
      </c>
      <c r="D14" s="441" t="s">
        <v>522</v>
      </c>
      <c r="E14" s="438">
        <f>+'Realisasi aparatur'!G15</f>
        <v>512795855689</v>
      </c>
      <c r="F14" s="438">
        <f>+'Realisasi Belanja'!I6+'Realisasi pembiayaan'!F14</f>
        <v>825808207975</v>
      </c>
      <c r="G14" s="442">
        <f t="shared" si="0"/>
        <v>0.62096241080776959</v>
      </c>
    </row>
    <row r="15" spans="3:7">
      <c r="C15" s="441">
        <v>5</v>
      </c>
      <c r="D15" s="441" t="s">
        <v>523</v>
      </c>
      <c r="E15" s="438">
        <f>+'Realisasi aparatur'!H15</f>
        <v>576492683557</v>
      </c>
      <c r="F15" s="438">
        <f>+'Realisasi Belanja'!K6+'Realisasi pembiayaan'!G14</f>
        <v>971287273930</v>
      </c>
      <c r="G15" s="442">
        <f t="shared" si="0"/>
        <v>0.59353468230301087</v>
      </c>
    </row>
    <row r="16" spans="3:7">
      <c r="C16" s="437"/>
      <c r="D16" s="437"/>
      <c r="E16" s="437"/>
      <c r="F16" s="437"/>
      <c r="G16" s="437"/>
    </row>
  </sheetData>
  <mergeCells count="6">
    <mergeCell ref="G8:G9"/>
    <mergeCell ref="D8:D9"/>
    <mergeCell ref="C8:C9"/>
    <mergeCell ref="C4:G4"/>
    <mergeCell ref="C5:G5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M21"/>
  <sheetViews>
    <sheetView workbookViewId="0">
      <selection activeCell="N12" sqref="N12"/>
    </sheetView>
  </sheetViews>
  <sheetFormatPr defaultRowHeight="15"/>
  <cols>
    <col min="2" max="2" width="4.85546875" customWidth="1"/>
    <col min="3" max="3" width="46.85546875" customWidth="1"/>
    <col min="4" max="4" width="18.42578125" style="3" customWidth="1"/>
    <col min="5" max="5" width="17.140625" style="3" customWidth="1"/>
    <col min="6" max="6" width="17.140625" style="3" hidden="1" customWidth="1"/>
    <col min="7" max="7" width="17.140625" style="3" customWidth="1"/>
    <col min="8" max="8" width="17.140625" style="3" hidden="1" customWidth="1"/>
    <col min="9" max="9" width="17.140625" style="3" customWidth="1"/>
    <col min="10" max="10" width="17.140625" style="3" hidden="1" customWidth="1"/>
    <col min="11" max="11" width="17.140625" style="3" customWidth="1"/>
    <col min="12" max="12" width="17.140625" style="3" hidden="1" customWidth="1"/>
    <col min="13" max="13" width="13.28515625" style="3" bestFit="1" customWidth="1"/>
  </cols>
  <sheetData>
    <row r="1" spans="2:13" ht="15.75">
      <c r="B1" s="513" t="s">
        <v>532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2:13" ht="15.75">
      <c r="B2" s="513" t="s">
        <v>511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</row>
    <row r="3" spans="2:13" ht="15.75">
      <c r="B3" s="513" t="s">
        <v>512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</row>
    <row r="5" spans="2:13">
      <c r="B5" s="520" t="s">
        <v>524</v>
      </c>
      <c r="C5" s="520" t="s">
        <v>142</v>
      </c>
      <c r="D5" s="522">
        <v>2008</v>
      </c>
      <c r="E5" s="522">
        <v>2009</v>
      </c>
      <c r="F5" s="445"/>
      <c r="G5" s="522">
        <v>2010</v>
      </c>
      <c r="H5" s="445"/>
      <c r="I5" s="522">
        <v>2011</v>
      </c>
      <c r="J5" s="445"/>
      <c r="K5" s="522">
        <v>2012</v>
      </c>
      <c r="L5" s="445"/>
      <c r="M5" s="450" t="s">
        <v>530</v>
      </c>
    </row>
    <row r="6" spans="2:13">
      <c r="B6" s="520"/>
      <c r="C6" s="520"/>
      <c r="D6" s="522"/>
      <c r="E6" s="522"/>
      <c r="F6" s="445"/>
      <c r="G6" s="522"/>
      <c r="H6" s="445"/>
      <c r="I6" s="522"/>
      <c r="J6" s="445"/>
      <c r="K6" s="522"/>
      <c r="L6" s="445"/>
      <c r="M6" s="449" t="s">
        <v>531</v>
      </c>
    </row>
    <row r="7" spans="2:13">
      <c r="B7" s="446"/>
      <c r="C7" s="446"/>
      <c r="D7" s="445"/>
      <c r="E7" s="445"/>
      <c r="F7" s="445"/>
      <c r="G7" s="445"/>
      <c r="H7" s="445"/>
      <c r="I7" s="445"/>
      <c r="J7" s="445"/>
      <c r="K7" s="445"/>
      <c r="L7" s="445"/>
      <c r="M7" s="434"/>
    </row>
    <row r="8" spans="2:13">
      <c r="B8" s="441" t="s">
        <v>516</v>
      </c>
      <c r="C8" s="437" t="s">
        <v>0</v>
      </c>
      <c r="D8" s="438">
        <f>+D9+D10</f>
        <v>309926055084</v>
      </c>
      <c r="E8" s="438">
        <f t="shared" ref="E8:K8" si="0">+E9+E10</f>
        <v>339675023000</v>
      </c>
      <c r="F8" s="447">
        <f>+(E8-D8)/D8</f>
        <v>9.5987308675732561E-2</v>
      </c>
      <c r="G8" s="438">
        <f t="shared" si="0"/>
        <v>420371009427</v>
      </c>
      <c r="H8" s="447">
        <f>+(G8-E8)/E8</f>
        <v>0.23756820773660475</v>
      </c>
      <c r="I8" s="438">
        <f t="shared" si="0"/>
        <v>474666829278</v>
      </c>
      <c r="J8" s="447">
        <f>+(I8-G8)/G8</f>
        <v>0.12916166584610494</v>
      </c>
      <c r="K8" s="438">
        <f t="shared" si="0"/>
        <v>540996735761</v>
      </c>
      <c r="L8" s="447">
        <f>+(K8-I8)/I8</f>
        <v>0.13973992365106327</v>
      </c>
      <c r="M8" s="447">
        <f>+(F8+H8+J8+L8)/4</f>
        <v>0.15061427647737638</v>
      </c>
    </row>
    <row r="9" spans="2:13">
      <c r="B9" s="441">
        <v>1</v>
      </c>
      <c r="C9" s="437" t="s">
        <v>5</v>
      </c>
      <c r="D9" s="438">
        <f>+'Realisasi Belanja'!C8</f>
        <v>309926055084</v>
      </c>
      <c r="E9" s="438">
        <f>+'Realisasi Belanja'!E8</f>
        <v>339675023000</v>
      </c>
      <c r="F9" s="447">
        <f>+(E9-D9)/D9</f>
        <v>9.5987308675732561E-2</v>
      </c>
      <c r="G9" s="438">
        <f>+'Realisasi Belanja'!G8</f>
        <v>420371009427</v>
      </c>
      <c r="H9" s="447">
        <f t="shared" ref="H9:H21" si="1">+(G9-E9)/E9</f>
        <v>0.23756820773660475</v>
      </c>
      <c r="I9" s="438">
        <f>+'Realisasi Belanja'!I8</f>
        <v>474666829278</v>
      </c>
      <c r="J9" s="447">
        <f t="shared" ref="J9:J21" si="2">+(I9-G9)/G9</f>
        <v>0.12916166584610494</v>
      </c>
      <c r="K9" s="438">
        <f>+'Realisasi Belanja'!K8</f>
        <v>540996735761</v>
      </c>
      <c r="L9" s="447">
        <f t="shared" ref="L9:L21" si="3">+(K9-I9)/I9</f>
        <v>0.13973992365106327</v>
      </c>
      <c r="M9" s="447">
        <f t="shared" ref="M9:M21" si="4">+(F9+H9+J9+L9)/4</f>
        <v>0.15061427647737638</v>
      </c>
    </row>
    <row r="10" spans="2:13">
      <c r="B10" s="441">
        <v>2</v>
      </c>
      <c r="C10" s="437" t="s">
        <v>6</v>
      </c>
      <c r="D10" s="438"/>
      <c r="E10" s="438"/>
      <c r="F10" s="438"/>
      <c r="G10" s="438"/>
      <c r="H10" s="447"/>
      <c r="I10" s="438"/>
      <c r="J10" s="447" t="s">
        <v>8</v>
      </c>
      <c r="K10" s="438"/>
      <c r="L10" s="447"/>
      <c r="M10" s="447" t="s">
        <v>8</v>
      </c>
    </row>
    <row r="11" spans="2:13">
      <c r="B11" s="441"/>
      <c r="C11" s="437"/>
      <c r="D11" s="438"/>
      <c r="E11" s="438"/>
      <c r="F11" s="438"/>
      <c r="G11" s="438"/>
      <c r="H11" s="447"/>
      <c r="I11" s="438"/>
      <c r="J11" s="447" t="s">
        <v>8</v>
      </c>
      <c r="K11" s="438"/>
      <c r="L11" s="447"/>
      <c r="M11" s="447" t="s">
        <v>8</v>
      </c>
    </row>
    <row r="12" spans="2:13">
      <c r="B12" s="441" t="s">
        <v>517</v>
      </c>
      <c r="C12" s="437" t="s">
        <v>1</v>
      </c>
      <c r="D12" s="438">
        <f>+D13+D14+D15</f>
        <v>38316992462</v>
      </c>
      <c r="E12" s="438">
        <f t="shared" ref="E12:K12" si="5">+E13+E14+E15</f>
        <v>36637913819</v>
      </c>
      <c r="F12" s="447">
        <f t="shared" ref="F12:F15" si="6">+(E12-D12)/D12</f>
        <v>-4.3820731615749536E-2</v>
      </c>
      <c r="G12" s="438">
        <f t="shared" si="5"/>
        <v>62876066056</v>
      </c>
      <c r="H12" s="447">
        <f t="shared" si="1"/>
        <v>0.71614755050253975</v>
      </c>
      <c r="I12" s="438">
        <f t="shared" si="5"/>
        <v>38129026411</v>
      </c>
      <c r="J12" s="447">
        <f t="shared" si="2"/>
        <v>-0.39358441450454729</v>
      </c>
      <c r="K12" s="438">
        <f t="shared" si="5"/>
        <v>35495947796</v>
      </c>
      <c r="L12" s="447">
        <f t="shared" si="3"/>
        <v>-6.9057063944343786E-2</v>
      </c>
      <c r="M12" s="447">
        <f t="shared" si="4"/>
        <v>5.242133510947479E-2</v>
      </c>
    </row>
    <row r="13" spans="2:13">
      <c r="B13" s="441">
        <v>1</v>
      </c>
      <c r="C13" s="437" t="s">
        <v>28</v>
      </c>
      <c r="D13" s="438">
        <f>+'rekap blj wajib'!D80</f>
        <v>27971475243</v>
      </c>
      <c r="E13" s="438">
        <f>+'rekap blj wajib'!G80</f>
        <v>29479384452</v>
      </c>
      <c r="F13" s="447">
        <f t="shared" si="6"/>
        <v>5.3908819463405373E-2</v>
      </c>
      <c r="G13" s="438">
        <f>+'rekap blj wajib'!J80</f>
        <v>30821916353</v>
      </c>
      <c r="H13" s="447">
        <f t="shared" si="1"/>
        <v>4.5541381747165932E-2</v>
      </c>
      <c r="I13" s="438">
        <f>+'rekap blj wajib'!M80</f>
        <v>33772128361</v>
      </c>
      <c r="J13" s="447">
        <f t="shared" si="2"/>
        <v>9.5717994112096999E-2</v>
      </c>
      <c r="K13" s="438">
        <f>+'rekap blj wajib'!P80</f>
        <v>24438598684</v>
      </c>
      <c r="L13" s="447">
        <f t="shared" si="3"/>
        <v>-0.27636782548115463</v>
      </c>
      <c r="M13" s="447">
        <f t="shared" si="4"/>
        <v>-2.0299907539621583E-2</v>
      </c>
    </row>
    <row r="14" spans="2:13">
      <c r="B14" s="441">
        <v>2</v>
      </c>
      <c r="C14" s="437" t="s">
        <v>29</v>
      </c>
      <c r="D14" s="438">
        <f>+'rekap blj wajib'!E80</f>
        <v>8717111119</v>
      </c>
      <c r="E14" s="438">
        <f>+'rekap blj wajib'!H80</f>
        <v>6769132367</v>
      </c>
      <c r="F14" s="447">
        <f t="shared" si="6"/>
        <v>-0.22346609162227429</v>
      </c>
      <c r="G14" s="438">
        <f>+'rekap blj wajib'!J80</f>
        <v>30821916353</v>
      </c>
      <c r="H14" s="447">
        <f t="shared" si="1"/>
        <v>3.5533038330376026</v>
      </c>
      <c r="I14" s="438">
        <f>+'rekap blj wajib'!N80</f>
        <v>4123044550</v>
      </c>
      <c r="J14" s="447">
        <f t="shared" si="2"/>
        <v>-0.86623010383977339</v>
      </c>
      <c r="K14" s="438">
        <f>+'rekap blj wajib'!Q80</f>
        <v>9449623362</v>
      </c>
      <c r="L14" s="447">
        <f t="shared" si="3"/>
        <v>1.2919042584684175</v>
      </c>
      <c r="M14" s="447">
        <f t="shared" si="4"/>
        <v>0.93887797401099304</v>
      </c>
    </row>
    <row r="15" spans="2:13">
      <c r="B15" s="441">
        <v>3</v>
      </c>
      <c r="C15" s="437" t="s">
        <v>30</v>
      </c>
      <c r="D15" s="438">
        <f>+'rekap blj wajib'!F80</f>
        <v>1628406100</v>
      </c>
      <c r="E15" s="438">
        <f>+'rekap blj wajib'!I80</f>
        <v>389397000</v>
      </c>
      <c r="F15" s="447">
        <f t="shared" si="6"/>
        <v>-0.7608723032909297</v>
      </c>
      <c r="G15" s="438">
        <f>+'rekap blj wajib'!L80</f>
        <v>1232233350</v>
      </c>
      <c r="H15" s="447">
        <f t="shared" si="1"/>
        <v>2.1644654427229795</v>
      </c>
      <c r="I15" s="438">
        <f>+'rekap blj wajib'!O80</f>
        <v>233853500</v>
      </c>
      <c r="J15" s="447">
        <f t="shared" si="2"/>
        <v>-0.81021979319095694</v>
      </c>
      <c r="K15" s="438">
        <f>+'rekap blj wajib'!R80</f>
        <v>1607725750</v>
      </c>
      <c r="L15" s="447">
        <f t="shared" si="3"/>
        <v>5.874927037653916</v>
      </c>
      <c r="M15" s="447">
        <f t="shared" si="4"/>
        <v>1.6170750959737523</v>
      </c>
    </row>
    <row r="16" spans="2:13">
      <c r="B16" s="441"/>
      <c r="C16" s="437"/>
      <c r="D16" s="438"/>
      <c r="E16" s="438"/>
      <c r="F16" s="438"/>
      <c r="G16" s="438"/>
      <c r="H16" s="447"/>
      <c r="I16" s="438"/>
      <c r="J16" s="447" t="s">
        <v>8</v>
      </c>
      <c r="K16" s="438"/>
      <c r="L16" s="447" t="s">
        <v>8</v>
      </c>
      <c r="M16" s="447" t="s">
        <v>8</v>
      </c>
    </row>
    <row r="17" spans="2:13">
      <c r="B17" s="441" t="s">
        <v>533</v>
      </c>
      <c r="C17" s="437" t="s">
        <v>2</v>
      </c>
      <c r="D17" s="438">
        <f>+D18+D19</f>
        <v>0</v>
      </c>
      <c r="E17" s="438">
        <f t="shared" ref="E17:K17" si="7">+E18+E19</f>
        <v>0</v>
      </c>
      <c r="F17" s="438"/>
      <c r="G17" s="438">
        <f t="shared" si="7"/>
        <v>1216506415</v>
      </c>
      <c r="H17" s="447">
        <v>1</v>
      </c>
      <c r="I17" s="438">
        <f t="shared" si="7"/>
        <v>0</v>
      </c>
      <c r="J17" s="447">
        <f t="shared" si="2"/>
        <v>-1</v>
      </c>
      <c r="K17" s="438">
        <f t="shared" si="7"/>
        <v>5000000000</v>
      </c>
      <c r="L17" s="447" t="s">
        <v>8</v>
      </c>
      <c r="M17" s="447">
        <f>+M18</f>
        <v>0.25</v>
      </c>
    </row>
    <row r="18" spans="2:13">
      <c r="B18" s="441">
        <v>1</v>
      </c>
      <c r="C18" s="437" t="s">
        <v>3</v>
      </c>
      <c r="D18" s="438">
        <v>0</v>
      </c>
      <c r="E18" s="438">
        <v>0</v>
      </c>
      <c r="F18" s="438"/>
      <c r="G18" s="438">
        <v>0</v>
      </c>
      <c r="H18" s="447">
        <v>0</v>
      </c>
      <c r="I18" s="438">
        <v>0</v>
      </c>
      <c r="J18" s="447">
        <v>0</v>
      </c>
      <c r="K18" s="438">
        <v>5000000000</v>
      </c>
      <c r="L18" s="447">
        <v>1</v>
      </c>
      <c r="M18" s="447">
        <f t="shared" si="4"/>
        <v>0.25</v>
      </c>
    </row>
    <row r="19" spans="2:13">
      <c r="B19" s="441">
        <v>2</v>
      </c>
      <c r="C19" s="437" t="s">
        <v>4</v>
      </c>
      <c r="D19" s="438">
        <v>0</v>
      </c>
      <c r="E19" s="438">
        <v>0</v>
      </c>
      <c r="F19" s="438"/>
      <c r="G19" s="438">
        <v>1216506415</v>
      </c>
      <c r="H19" s="447">
        <v>1</v>
      </c>
      <c r="I19" s="438">
        <v>0</v>
      </c>
      <c r="J19" s="447">
        <f t="shared" si="2"/>
        <v>-1</v>
      </c>
      <c r="K19" s="438">
        <v>0</v>
      </c>
      <c r="L19" s="447">
        <v>0</v>
      </c>
      <c r="M19" s="447">
        <f>+M18</f>
        <v>0.25</v>
      </c>
    </row>
    <row r="20" spans="2:13">
      <c r="B20" s="437"/>
      <c r="C20" s="437"/>
      <c r="D20" s="438"/>
      <c r="E20" s="438"/>
      <c r="F20" s="438"/>
      <c r="G20" s="438"/>
      <c r="H20" s="447"/>
      <c r="I20" s="438"/>
      <c r="J20" s="447" t="s">
        <v>8</v>
      </c>
      <c r="K20" s="438"/>
      <c r="L20" s="447" t="s">
        <v>8</v>
      </c>
      <c r="M20" s="447" t="s">
        <v>8</v>
      </c>
    </row>
    <row r="21" spans="2:13">
      <c r="B21" s="435"/>
      <c r="C21" s="446" t="s">
        <v>508</v>
      </c>
      <c r="D21" s="439">
        <f>+D8+D12+D17</f>
        <v>348243047546</v>
      </c>
      <c r="E21" s="439">
        <f t="shared" ref="E21:K21" si="8">+E8+E12+E17</f>
        <v>376312936819</v>
      </c>
      <c r="F21" s="451">
        <f>+(E21-D21)/D21</f>
        <v>8.0604306305044615E-2</v>
      </c>
      <c r="G21" s="439">
        <f t="shared" si="8"/>
        <v>484463581898</v>
      </c>
      <c r="H21" s="451">
        <f t="shared" si="1"/>
        <v>0.28739550118368262</v>
      </c>
      <c r="I21" s="439">
        <f t="shared" si="8"/>
        <v>512795855689</v>
      </c>
      <c r="J21" s="451">
        <f t="shared" si="2"/>
        <v>5.8481741145540098E-2</v>
      </c>
      <c r="K21" s="439">
        <f t="shared" si="8"/>
        <v>581492683557</v>
      </c>
      <c r="L21" s="451">
        <f t="shared" si="3"/>
        <v>0.13396525558050373</v>
      </c>
      <c r="M21" s="451">
        <f t="shared" si="4"/>
        <v>0.14011170105369278</v>
      </c>
    </row>
  </sheetData>
  <mergeCells count="10">
    <mergeCell ref="K5:K6"/>
    <mergeCell ref="B1:M1"/>
    <mergeCell ref="B2:M2"/>
    <mergeCell ref="B3:M3"/>
    <mergeCell ref="C5:C6"/>
    <mergeCell ref="B5:B6"/>
    <mergeCell ref="D5:D6"/>
    <mergeCell ref="E5:E6"/>
    <mergeCell ref="G5:G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O31"/>
  <sheetViews>
    <sheetView topLeftCell="B14" workbookViewId="0">
      <selection activeCell="K36" sqref="K36"/>
    </sheetView>
  </sheetViews>
  <sheetFormatPr defaultRowHeight="15"/>
  <cols>
    <col min="2" max="2" width="4.85546875" customWidth="1"/>
    <col min="3" max="3" width="46.85546875" customWidth="1"/>
    <col min="4" max="4" width="18.42578125" style="3" hidden="1" customWidth="1"/>
    <col min="5" max="7" width="17.140625" style="3" hidden="1" customWidth="1"/>
    <col min="8" max="8" width="17.140625" style="3" customWidth="1"/>
    <col min="9" max="9" width="20.42578125" style="3" customWidth="1"/>
    <col min="10" max="10" width="17.140625" style="3" hidden="1" customWidth="1"/>
    <col min="11" max="15" width="17.140625" style="3" customWidth="1"/>
  </cols>
  <sheetData>
    <row r="1" spans="2:15" ht="15.75">
      <c r="B1" s="513" t="s">
        <v>535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</row>
    <row r="2" spans="2:15" ht="15.75">
      <c r="B2" s="513" t="s">
        <v>534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</row>
    <row r="3" spans="2:15" ht="15.75">
      <c r="B3" s="513" t="s">
        <v>512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</row>
    <row r="6" spans="2:15">
      <c r="B6" s="523" t="s">
        <v>524</v>
      </c>
      <c r="C6" s="523" t="s">
        <v>142</v>
      </c>
      <c r="D6" s="434">
        <v>2008</v>
      </c>
      <c r="E6" s="434">
        <v>2009</v>
      </c>
      <c r="F6" s="434">
        <v>2010</v>
      </c>
      <c r="G6" s="434">
        <v>2011</v>
      </c>
      <c r="H6" s="450" t="s">
        <v>536</v>
      </c>
      <c r="I6" s="450" t="s">
        <v>537</v>
      </c>
      <c r="J6" s="523" t="s">
        <v>506</v>
      </c>
      <c r="K6" s="523">
        <v>2014</v>
      </c>
      <c r="L6" s="523">
        <v>2015</v>
      </c>
      <c r="M6" s="523">
        <v>2016</v>
      </c>
      <c r="N6" s="523">
        <v>2017</v>
      </c>
      <c r="O6" s="523">
        <v>2018</v>
      </c>
    </row>
    <row r="7" spans="2:15">
      <c r="B7" s="524"/>
      <c r="C7" s="524"/>
      <c r="D7" s="434"/>
      <c r="E7" s="434"/>
      <c r="F7" s="434"/>
      <c r="G7" s="434"/>
      <c r="H7" s="449" t="s">
        <v>538</v>
      </c>
      <c r="I7" s="449" t="s">
        <v>539</v>
      </c>
      <c r="J7" s="524"/>
      <c r="K7" s="524"/>
      <c r="L7" s="524"/>
      <c r="M7" s="524"/>
      <c r="N7" s="524"/>
      <c r="O7" s="524"/>
    </row>
    <row r="8" spans="2:15">
      <c r="B8" s="433"/>
      <c r="C8" s="433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</row>
    <row r="9" spans="2:15">
      <c r="B9" s="437" t="s">
        <v>516</v>
      </c>
      <c r="C9" s="437" t="s">
        <v>0</v>
      </c>
      <c r="D9" s="438">
        <f>+D10+D13</f>
        <v>309926055084</v>
      </c>
      <c r="E9" s="438">
        <f t="shared" ref="E9:J9" si="0">+E10+E13</f>
        <v>339675023000</v>
      </c>
      <c r="F9" s="438">
        <f t="shared" si="0"/>
        <v>420371009427</v>
      </c>
      <c r="G9" s="438">
        <f t="shared" si="0"/>
        <v>474666829278</v>
      </c>
      <c r="H9" s="438">
        <f t="shared" si="0"/>
        <v>540996735761</v>
      </c>
      <c r="I9" s="452">
        <v>0.15061427647737638</v>
      </c>
      <c r="J9" s="438">
        <f t="shared" si="0"/>
        <v>597730844785</v>
      </c>
      <c r="K9" s="438">
        <f>SUM(K11:K13)</f>
        <v>6504000000</v>
      </c>
      <c r="L9" s="438">
        <f>SUM(L11:L13)</f>
        <v>10004834000</v>
      </c>
      <c r="M9" s="438">
        <f>SUM(M11:M13)</f>
        <v>9436000000</v>
      </c>
      <c r="N9" s="438">
        <f>SUM(N11:N13)</f>
        <v>7908000000</v>
      </c>
      <c r="O9" s="438">
        <f>SUM(O11:O13)</f>
        <v>6380000000</v>
      </c>
    </row>
    <row r="10" spans="2:15">
      <c r="B10" s="437">
        <v>1</v>
      </c>
      <c r="C10" s="437" t="s">
        <v>5</v>
      </c>
      <c r="D10" s="438">
        <f>+'Realisasi Belanja'!C8</f>
        <v>309926055084</v>
      </c>
      <c r="E10" s="438">
        <f>+'Realisasi Belanja'!E8</f>
        <v>339675023000</v>
      </c>
      <c r="F10" s="438">
        <f>+'Realisasi Belanja'!G8</f>
        <v>420371009427</v>
      </c>
      <c r="G10" s="438">
        <f>+'Realisasi Belanja'!I8</f>
        <v>474666829278</v>
      </c>
      <c r="H10" s="438">
        <f>+'Realisasi Belanja'!K8</f>
        <v>540996735761</v>
      </c>
      <c r="I10" s="452">
        <v>0.15061427647737638</v>
      </c>
      <c r="J10" s="438">
        <f>+'Pro-Blj'!H7</f>
        <v>597730844785</v>
      </c>
    </row>
    <row r="11" spans="2:15">
      <c r="B11" s="437">
        <v>2</v>
      </c>
      <c r="C11" s="437" t="s">
        <v>596</v>
      </c>
      <c r="D11" s="438"/>
      <c r="E11" s="438"/>
      <c r="F11" s="438"/>
      <c r="G11" s="438"/>
      <c r="H11" s="438"/>
      <c r="I11" s="452"/>
      <c r="J11" s="438"/>
      <c r="K11" s="438">
        <v>4504000000</v>
      </c>
      <c r="L11" s="438">
        <v>4700000000</v>
      </c>
      <c r="M11" s="438">
        <v>4900000000</v>
      </c>
      <c r="N11" s="438">
        <v>5100000000</v>
      </c>
      <c r="O11" s="438">
        <v>5300000000</v>
      </c>
    </row>
    <row r="12" spans="2:15">
      <c r="B12" s="437"/>
      <c r="C12" s="437"/>
      <c r="D12" s="438"/>
      <c r="E12" s="438"/>
      <c r="F12" s="438"/>
      <c r="G12" s="438"/>
      <c r="H12" s="438"/>
      <c r="I12" s="452"/>
      <c r="J12" s="438"/>
      <c r="L12" s="438"/>
      <c r="M12" s="438"/>
      <c r="N12" s="438"/>
      <c r="O12" s="438"/>
    </row>
    <row r="13" spans="2:15">
      <c r="B13" s="437">
        <v>3</v>
      </c>
      <c r="C13" s="437" t="s">
        <v>6</v>
      </c>
      <c r="D13" s="438"/>
      <c r="E13" s="438"/>
      <c r="F13" s="438"/>
      <c r="G13" s="438"/>
      <c r="H13" s="438"/>
      <c r="I13" s="453" t="s">
        <v>8</v>
      </c>
      <c r="J13" s="438"/>
      <c r="K13" s="438">
        <v>2000000000</v>
      </c>
      <c r="L13" s="438">
        <v>5304834000</v>
      </c>
      <c r="M13" s="438">
        <v>4536000000</v>
      </c>
      <c r="N13" s="438">
        <v>2808000000</v>
      </c>
      <c r="O13" s="438">
        <v>1080000000</v>
      </c>
    </row>
    <row r="14" spans="2:15">
      <c r="B14" s="437"/>
      <c r="C14" s="437"/>
      <c r="D14" s="438"/>
      <c r="E14" s="438"/>
      <c r="F14" s="438"/>
      <c r="G14" s="438"/>
      <c r="H14" s="438"/>
      <c r="I14" s="453" t="s">
        <v>8</v>
      </c>
      <c r="J14" s="438"/>
      <c r="K14" s="438"/>
      <c r="L14" s="438"/>
      <c r="M14" s="438"/>
      <c r="N14" s="438"/>
      <c r="O14" s="438"/>
    </row>
    <row r="15" spans="2:15">
      <c r="B15" s="437" t="s">
        <v>517</v>
      </c>
      <c r="C15" s="437" t="s">
        <v>1</v>
      </c>
      <c r="D15" s="438">
        <f>+D16+D17+D18</f>
        <v>38316992462</v>
      </c>
      <c r="E15" s="438">
        <f t="shared" ref="E15:M15" si="1">+E16+E17+E18</f>
        <v>36637913819</v>
      </c>
      <c r="F15" s="438">
        <f t="shared" si="1"/>
        <v>62876066056</v>
      </c>
      <c r="G15" s="438">
        <f t="shared" si="1"/>
        <v>38129026411</v>
      </c>
      <c r="H15" s="438">
        <f t="shared" si="1"/>
        <v>35495947796</v>
      </c>
      <c r="I15" s="452">
        <v>5.242133510947479E-2</v>
      </c>
      <c r="J15" s="438">
        <f t="shared" si="1"/>
        <v>46953172070</v>
      </c>
      <c r="K15" s="438">
        <f t="shared" si="1"/>
        <v>54966654324</v>
      </c>
      <c r="L15" s="438">
        <f t="shared" si="1"/>
        <v>56112457242.454483</v>
      </c>
      <c r="M15" s="438">
        <f t="shared" si="1"/>
        <v>57208101959.123573</v>
      </c>
      <c r="N15" s="438">
        <f>+N16+N17+N18</f>
        <v>58325393525.844246</v>
      </c>
      <c r="O15" s="438">
        <f>+O16+O17+O18</f>
        <v>60186596463.852478</v>
      </c>
    </row>
    <row r="16" spans="2:15">
      <c r="B16" s="437">
        <v>1</v>
      </c>
      <c r="C16" s="437" t="s">
        <v>28</v>
      </c>
      <c r="D16" s="438">
        <f>+'rekap blj wajib'!D80</f>
        <v>27971475243</v>
      </c>
      <c r="E16" s="438">
        <f>+'rekap blj wajib'!G80</f>
        <v>29479384452</v>
      </c>
      <c r="F16" s="438">
        <f>+'rekap blj wajib'!J80</f>
        <v>30821916353</v>
      </c>
      <c r="G16" s="438">
        <f>+'rekap blj wajib'!M80</f>
        <v>33772128361</v>
      </c>
      <c r="H16" s="438">
        <f>+'rekap blj wajib'!P80</f>
        <v>24438598684</v>
      </c>
      <c r="I16" s="452">
        <v>-2.0299907539621583E-2</v>
      </c>
      <c r="J16" s="438">
        <f>+'rekap blj wajib'!S80</f>
        <v>29354572450</v>
      </c>
      <c r="K16" s="438">
        <f>+'rekap blj wajib'!V80</f>
        <v>30012877709</v>
      </c>
      <c r="L16" s="438">
        <f>+(K16-J16)/J16*100*K16/100+K16</f>
        <v>30685946113.15448</v>
      </c>
      <c r="M16" s="438">
        <f>+L16*1.02</f>
        <v>31299665035.417572</v>
      </c>
      <c r="N16" s="438">
        <f>+M16*1.02</f>
        <v>31925658336.125923</v>
      </c>
      <c r="O16" s="438">
        <f>+N16*1.02</f>
        <v>32564171502.848442</v>
      </c>
    </row>
    <row r="17" spans="2:15">
      <c r="B17" s="437">
        <v>2</v>
      </c>
      <c r="C17" s="437" t="s">
        <v>29</v>
      </c>
      <c r="D17" s="438">
        <f>+'rekap blj wajib'!E80</f>
        <v>8717111119</v>
      </c>
      <c r="E17" s="438">
        <f>+'rekap blj wajib'!H80</f>
        <v>6769132367</v>
      </c>
      <c r="F17" s="438">
        <f>+'rekap blj wajib'!J80</f>
        <v>30821916353</v>
      </c>
      <c r="G17" s="438">
        <f>+'rekap blj wajib'!N80</f>
        <v>4123044550</v>
      </c>
      <c r="H17" s="438">
        <f>+'rekap blj wajib'!Q80</f>
        <v>9449623362</v>
      </c>
      <c r="I17" s="452">
        <v>0.93887797401099304</v>
      </c>
      <c r="J17" s="438">
        <f>+'rekap blj wajib'!T80</f>
        <v>17148047120</v>
      </c>
      <c r="K17" s="438">
        <f>+'rekap blj wajib'!W80</f>
        <v>22319674815</v>
      </c>
      <c r="L17" s="438">
        <f>+K17*1.02</f>
        <v>22766068311.299999</v>
      </c>
      <c r="M17" s="438">
        <f>+L17*1.02</f>
        <v>23221389677.526001</v>
      </c>
      <c r="N17" s="438">
        <f>+M17*1.02</f>
        <v>23685817471.076523</v>
      </c>
      <c r="O17" s="438">
        <f>+N17*1.02+477581650</f>
        <v>24637115470.498055</v>
      </c>
    </row>
    <row r="18" spans="2:15">
      <c r="B18" s="437">
        <v>3</v>
      </c>
      <c r="C18" s="437" t="s">
        <v>30</v>
      </c>
      <c r="D18" s="438">
        <f>+'rekap blj wajib'!F80</f>
        <v>1628406100</v>
      </c>
      <c r="E18" s="438">
        <f>+'rekap blj wajib'!I80</f>
        <v>389397000</v>
      </c>
      <c r="F18" s="438">
        <f>+'rekap blj wajib'!L80</f>
        <v>1232233350</v>
      </c>
      <c r="G18" s="438">
        <f>+'rekap blj wajib'!O80</f>
        <v>233853500</v>
      </c>
      <c r="H18" s="438">
        <f>+'rekap blj wajib'!R80</f>
        <v>1607725750</v>
      </c>
      <c r="I18" s="452">
        <v>1.6170750959737523</v>
      </c>
      <c r="J18" s="438">
        <f>+'rekap blj wajib'!U80</f>
        <v>450552500</v>
      </c>
      <c r="K18" s="438">
        <f>+'rekap blj wajib'!X80</f>
        <v>2634101800</v>
      </c>
      <c r="L18" s="438">
        <f>+K18*1.01</f>
        <v>2660442818</v>
      </c>
      <c r="M18" s="438">
        <f>+L18*1.01</f>
        <v>2687047246.1799998</v>
      </c>
      <c r="N18" s="438">
        <f>+M18*1.01</f>
        <v>2713917718.6417999</v>
      </c>
      <c r="O18" s="438">
        <f>+N18*1.1</f>
        <v>2985309490.50598</v>
      </c>
    </row>
    <row r="19" spans="2:15">
      <c r="B19" s="437"/>
      <c r="C19" s="437"/>
      <c r="D19" s="438"/>
      <c r="E19" s="438"/>
      <c r="F19" s="438"/>
      <c r="G19" s="438"/>
      <c r="H19" s="438"/>
      <c r="I19" s="452"/>
      <c r="J19" s="438"/>
      <c r="K19" s="438"/>
      <c r="L19" s="438"/>
      <c r="M19" s="438"/>
      <c r="N19" s="438"/>
      <c r="O19" s="438"/>
    </row>
    <row r="20" spans="2:15">
      <c r="B20" s="437"/>
      <c r="C20" s="437"/>
      <c r="D20" s="438"/>
      <c r="E20" s="438"/>
      <c r="F20" s="438"/>
      <c r="G20" s="438"/>
      <c r="H20" s="438"/>
      <c r="I20" s="452"/>
      <c r="J20" s="438"/>
      <c r="K20" s="438">
        <v>30012877709</v>
      </c>
      <c r="L20" s="438">
        <v>30685946113</v>
      </c>
      <c r="M20" s="438">
        <v>31299665035</v>
      </c>
      <c r="N20" s="438">
        <v>31925658336</v>
      </c>
      <c r="O20" s="438">
        <v>32564171503</v>
      </c>
    </row>
    <row r="21" spans="2:15">
      <c r="B21" s="437"/>
      <c r="C21" s="437"/>
      <c r="D21" s="438"/>
      <c r="E21" s="438"/>
      <c r="F21" s="438"/>
      <c r="G21" s="438"/>
      <c r="H21" s="438"/>
      <c r="I21" s="452"/>
      <c r="J21" s="438"/>
      <c r="K21" s="438">
        <v>22319674815</v>
      </c>
      <c r="L21" s="438">
        <v>22766068311</v>
      </c>
      <c r="M21" s="438">
        <v>23221389678</v>
      </c>
      <c r="N21" s="438">
        <v>23685817471</v>
      </c>
      <c r="O21" s="438">
        <v>24637115470</v>
      </c>
    </row>
    <row r="22" spans="2:15">
      <c r="B22" s="437"/>
      <c r="C22" s="437"/>
      <c r="D22" s="438"/>
      <c r="E22" s="438"/>
      <c r="F22" s="438"/>
      <c r="G22" s="438"/>
      <c r="H22" s="438"/>
      <c r="I22" s="452"/>
      <c r="J22" s="438"/>
      <c r="K22" s="438">
        <v>2634101800</v>
      </c>
      <c r="L22" s="438">
        <v>2660442818</v>
      </c>
      <c r="M22" s="438">
        <v>2687047264</v>
      </c>
      <c r="N22" s="438">
        <v>2713917719</v>
      </c>
      <c r="O22" s="438">
        <v>2985309491</v>
      </c>
    </row>
    <row r="23" spans="2:15">
      <c r="B23" s="437"/>
      <c r="C23" s="437"/>
      <c r="D23" s="438"/>
      <c r="E23" s="438"/>
      <c r="F23" s="438"/>
      <c r="G23" s="438"/>
      <c r="H23" s="438"/>
      <c r="I23" s="452" t="s">
        <v>8</v>
      </c>
      <c r="J23" s="438"/>
      <c r="K23" s="438"/>
      <c r="L23" s="438"/>
      <c r="M23" s="438"/>
      <c r="N23" s="438"/>
      <c r="O23" s="438"/>
    </row>
    <row r="24" spans="2:15">
      <c r="B24" s="437" t="s">
        <v>533</v>
      </c>
      <c r="C24" s="437" t="s">
        <v>2</v>
      </c>
      <c r="D24" s="438">
        <f>+D25+D26</f>
        <v>0</v>
      </c>
      <c r="E24" s="438">
        <f t="shared" ref="E24:H24" si="2">+E25+E26</f>
        <v>0</v>
      </c>
      <c r="F24" s="438">
        <f t="shared" si="2"/>
        <v>1216506415</v>
      </c>
      <c r="G24" s="438">
        <f t="shared" si="2"/>
        <v>0</v>
      </c>
      <c r="H24" s="438">
        <f t="shared" si="2"/>
        <v>5000000000</v>
      </c>
      <c r="I24" s="452">
        <v>0.25</v>
      </c>
      <c r="J24" s="438">
        <f>+J25+J26+J28</f>
        <v>11826780813</v>
      </c>
      <c r="K24" s="438">
        <f>SUM(K25:K28)</f>
        <v>8500000000</v>
      </c>
      <c r="L24" s="438">
        <f t="shared" ref="L24:O24" si="3">SUM(L25:L28)</f>
        <v>27000000000</v>
      </c>
      <c r="M24" s="438">
        <f t="shared" si="3"/>
        <v>40500000000</v>
      </c>
      <c r="N24" s="438">
        <f t="shared" si="3"/>
        <v>40500000000</v>
      </c>
      <c r="O24" s="438">
        <f t="shared" si="3"/>
        <v>33000000000</v>
      </c>
    </row>
    <row r="25" spans="2:15">
      <c r="B25" s="437">
        <v>1</v>
      </c>
      <c r="C25" s="437" t="s">
        <v>3</v>
      </c>
      <c r="D25" s="438">
        <v>0</v>
      </c>
      <c r="E25" s="438">
        <v>0</v>
      </c>
      <c r="F25" s="438">
        <v>0</v>
      </c>
      <c r="G25" s="438">
        <v>0</v>
      </c>
      <c r="H25" s="438">
        <v>5000000000</v>
      </c>
      <c r="I25" s="452">
        <v>0.25</v>
      </c>
      <c r="J25" s="438">
        <v>7826780813</v>
      </c>
      <c r="K25" s="438">
        <v>0</v>
      </c>
      <c r="L25" s="438"/>
      <c r="M25" s="438">
        <v>7500000000</v>
      </c>
      <c r="N25" s="438">
        <v>7500000000</v>
      </c>
      <c r="O25" s="438">
        <v>0</v>
      </c>
    </row>
    <row r="26" spans="2:15">
      <c r="B26" s="437">
        <v>2</v>
      </c>
      <c r="C26" s="437" t="s">
        <v>4</v>
      </c>
      <c r="D26" s="438">
        <v>0</v>
      </c>
      <c r="E26" s="438">
        <v>0</v>
      </c>
      <c r="F26" s="438">
        <v>1216506415</v>
      </c>
      <c r="G26" s="438">
        <v>0</v>
      </c>
      <c r="H26" s="438">
        <v>0</v>
      </c>
      <c r="I26" s="452">
        <v>0.25</v>
      </c>
      <c r="J26" s="438">
        <v>0</v>
      </c>
      <c r="K26" s="438">
        <v>0</v>
      </c>
      <c r="L26" s="438">
        <v>18000000000</v>
      </c>
      <c r="M26" s="438">
        <v>24000000000</v>
      </c>
      <c r="N26" s="438">
        <v>24000000000</v>
      </c>
      <c r="O26" s="438">
        <v>24000000000</v>
      </c>
    </row>
    <row r="27" spans="2:15">
      <c r="B27" s="437">
        <v>3</v>
      </c>
      <c r="C27" s="437" t="s">
        <v>595</v>
      </c>
      <c r="D27" s="438"/>
      <c r="E27" s="438"/>
      <c r="F27" s="438"/>
      <c r="G27" s="438"/>
      <c r="H27" s="438"/>
      <c r="I27" s="452"/>
      <c r="J27" s="438"/>
      <c r="K27" s="438">
        <v>4500000000</v>
      </c>
      <c r="L27" s="438">
        <v>5000000000</v>
      </c>
      <c r="M27" s="438">
        <v>5000000000</v>
      </c>
      <c r="N27" s="438">
        <v>5000000000</v>
      </c>
      <c r="O27" s="438">
        <v>5000000000</v>
      </c>
    </row>
    <row r="28" spans="2:15">
      <c r="B28" s="437">
        <v>4</v>
      </c>
      <c r="C28" s="437" t="s">
        <v>578</v>
      </c>
      <c r="D28" s="438"/>
      <c r="E28" s="438"/>
      <c r="F28" s="438"/>
      <c r="G28" s="438"/>
      <c r="H28" s="438">
        <v>4000000000</v>
      </c>
      <c r="I28" s="452">
        <v>0.25</v>
      </c>
      <c r="J28" s="438">
        <v>4000000000</v>
      </c>
      <c r="K28" s="438">
        <v>4000000000</v>
      </c>
      <c r="L28" s="438">
        <v>4000000000</v>
      </c>
      <c r="M28" s="438">
        <v>4000000000</v>
      </c>
      <c r="N28" s="438">
        <v>4000000000</v>
      </c>
      <c r="O28" s="438">
        <v>4000000000</v>
      </c>
    </row>
    <row r="29" spans="2:15">
      <c r="B29" s="437"/>
      <c r="C29" s="437"/>
      <c r="D29" s="438"/>
      <c r="E29" s="438"/>
      <c r="F29" s="438"/>
      <c r="G29" s="438"/>
      <c r="H29" s="438"/>
      <c r="I29" s="452" t="s">
        <v>8</v>
      </c>
      <c r="J29" s="438"/>
      <c r="K29" s="438"/>
      <c r="L29" s="438"/>
      <c r="M29" s="438"/>
      <c r="N29" s="438"/>
      <c r="O29" s="438"/>
    </row>
    <row r="30" spans="2:15" s="432" customFormat="1">
      <c r="B30" s="435"/>
      <c r="C30" s="455" t="s">
        <v>540</v>
      </c>
      <c r="D30" s="439">
        <f>+D9+D15+D24</f>
        <v>348243047546</v>
      </c>
      <c r="E30" s="439">
        <f t="shared" ref="E30:G30" si="4">+E9+E15+E24</f>
        <v>376312936819</v>
      </c>
      <c r="F30" s="439">
        <f t="shared" si="4"/>
        <v>484463581898</v>
      </c>
      <c r="G30" s="439">
        <f t="shared" si="4"/>
        <v>512795855689</v>
      </c>
      <c r="H30" s="485">
        <f>+H9+H15+H24+H28</f>
        <v>585492683557</v>
      </c>
      <c r="I30" s="489">
        <v>0.14011170105369278</v>
      </c>
      <c r="J30" s="485">
        <f>+J9+J15+J24+J28</f>
        <v>660510797668</v>
      </c>
      <c r="K30" s="485">
        <f>+K9+K15+K24</f>
        <v>69970654324</v>
      </c>
      <c r="L30" s="485">
        <f t="shared" ref="L30:O30" si="5">+L9+L15+L24</f>
        <v>93117291242.454483</v>
      </c>
      <c r="M30" s="485">
        <f t="shared" si="5"/>
        <v>107144101959.12357</v>
      </c>
      <c r="N30" s="485">
        <f t="shared" si="5"/>
        <v>106733393525.84424</v>
      </c>
      <c r="O30" s="485">
        <f t="shared" si="5"/>
        <v>99566596463.852478</v>
      </c>
    </row>
    <row r="31" spans="2:15" s="432" customFormat="1">
      <c r="B31" s="435"/>
      <c r="C31" s="454" t="s">
        <v>541</v>
      </c>
      <c r="D31" s="439"/>
      <c r="E31" s="439"/>
      <c r="F31" s="439"/>
      <c r="G31" s="439"/>
      <c r="H31" s="486"/>
      <c r="I31" s="487"/>
      <c r="J31" s="486"/>
      <c r="K31" s="486"/>
      <c r="L31" s="486"/>
      <c r="M31" s="486"/>
      <c r="N31" s="486"/>
      <c r="O31" s="486"/>
    </row>
  </sheetData>
  <mergeCells count="11">
    <mergeCell ref="M6:M7"/>
    <mergeCell ref="N6:N7"/>
    <mergeCell ref="O6:O7"/>
    <mergeCell ref="B1:O1"/>
    <mergeCell ref="B2:O2"/>
    <mergeCell ref="B3:O3"/>
    <mergeCell ref="B6:B7"/>
    <mergeCell ref="C6:C7"/>
    <mergeCell ref="J6:J7"/>
    <mergeCell ref="K6:K7"/>
    <mergeCell ref="L6:L7"/>
  </mergeCells>
  <pageMargins left="0.7" right="0.7" top="0.75" bottom="0.75" header="0.3" footer="0.3"/>
  <pageSetup paperSize="258" scale="8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K24"/>
  <sheetViews>
    <sheetView zoomScale="120" zoomScaleNormal="120" workbookViewId="0">
      <selection activeCell="A5" sqref="A5:G24"/>
    </sheetView>
  </sheetViews>
  <sheetFormatPr defaultRowHeight="11.25"/>
  <cols>
    <col min="1" max="1" width="4" style="6" bestFit="1" customWidth="1"/>
    <col min="2" max="2" width="34.85546875" style="6" customWidth="1"/>
    <col min="3" max="7" width="15.7109375" style="7" customWidth="1"/>
    <col min="8" max="10" width="9.140625" style="6"/>
    <col min="11" max="11" width="22.5703125" style="466" customWidth="1"/>
    <col min="12" max="16384" width="9.140625" style="6"/>
  </cols>
  <sheetData>
    <row r="1" spans="1:11">
      <c r="A1" s="525" t="s">
        <v>542</v>
      </c>
      <c r="B1" s="525"/>
      <c r="C1" s="525"/>
      <c r="D1" s="525"/>
      <c r="E1" s="525"/>
      <c r="F1" s="525"/>
      <c r="G1" s="525"/>
    </row>
    <row r="2" spans="1:11">
      <c r="A2" s="525" t="s">
        <v>543</v>
      </c>
      <c r="B2" s="525"/>
      <c r="C2" s="525"/>
      <c r="D2" s="525"/>
      <c r="E2" s="525"/>
      <c r="F2" s="525"/>
      <c r="G2" s="525"/>
    </row>
    <row r="3" spans="1:11">
      <c r="A3" s="525" t="s">
        <v>512</v>
      </c>
      <c r="B3" s="525"/>
      <c r="C3" s="525"/>
      <c r="D3" s="525"/>
      <c r="E3" s="525"/>
      <c r="F3" s="525"/>
      <c r="G3" s="525"/>
    </row>
    <row r="4" spans="1:11">
      <c r="K4" s="466">
        <v>71846110483</v>
      </c>
    </row>
    <row r="5" spans="1:11">
      <c r="A5" s="456" t="s">
        <v>524</v>
      </c>
      <c r="B5" s="456" t="s">
        <v>142</v>
      </c>
      <c r="C5" s="457">
        <v>2008</v>
      </c>
      <c r="D5" s="457">
        <v>2009</v>
      </c>
      <c r="E5" s="457">
        <v>2010</v>
      </c>
      <c r="F5" s="457">
        <v>2011</v>
      </c>
      <c r="G5" s="457">
        <v>2012</v>
      </c>
      <c r="K5" s="466">
        <v>123699510385</v>
      </c>
    </row>
    <row r="6" spans="1:11" hidden="1">
      <c r="A6" s="464"/>
      <c r="B6" s="464"/>
      <c r="C6" s="465"/>
      <c r="D6" s="465"/>
      <c r="E6" s="465"/>
      <c r="F6" s="465"/>
      <c r="G6" s="465"/>
    </row>
    <row r="7" spans="1:11">
      <c r="A7" s="461">
        <v>1</v>
      </c>
      <c r="B7" s="462" t="s">
        <v>7</v>
      </c>
      <c r="C7" s="463">
        <f>+'Realisasi Pendapatan'!C6</f>
        <v>576614217128</v>
      </c>
      <c r="D7" s="463">
        <f>+'Realisasi Pendapatan'!D6</f>
        <v>623122779590</v>
      </c>
      <c r="E7" s="463">
        <f>+'Realisasi Pendapatan'!E6</f>
        <v>675659734845</v>
      </c>
      <c r="F7" s="463">
        <f>+'Realisasi Pendapatan'!F6</f>
        <v>823479890034</v>
      </c>
      <c r="G7" s="463">
        <f>+'Realisasi Pendapatan'!G6</f>
        <v>966815573681</v>
      </c>
      <c r="K7" s="466">
        <f>+K5/K4*100</f>
        <v>172.17286997640517</v>
      </c>
    </row>
    <row r="8" spans="1:11">
      <c r="A8" s="459"/>
      <c r="B8" s="458" t="s">
        <v>544</v>
      </c>
      <c r="C8" s="460"/>
      <c r="D8" s="460"/>
      <c r="E8" s="460"/>
      <c r="F8" s="460"/>
      <c r="G8" s="460"/>
    </row>
    <row r="9" spans="1:11">
      <c r="A9" s="459">
        <v>2</v>
      </c>
      <c r="B9" s="458" t="s">
        <v>545</v>
      </c>
      <c r="C9" s="460">
        <f>+'Realisasi Belanja'!C6</f>
        <v>611356971071</v>
      </c>
      <c r="D9" s="460">
        <f>+'Realisasi Belanja'!E6</f>
        <v>606966527358</v>
      </c>
      <c r="E9" s="460">
        <f>+'Realisasi Belanja'!G6</f>
        <v>662203879316</v>
      </c>
      <c r="F9" s="460">
        <f>+'Realisasi Belanja'!I6</f>
        <v>816160548955</v>
      </c>
      <c r="G9" s="460">
        <f>+'Realisasi Belanja'!K6</f>
        <v>956324159986</v>
      </c>
    </row>
    <row r="10" spans="1:11">
      <c r="A10" s="459">
        <v>3</v>
      </c>
      <c r="B10" s="458" t="s">
        <v>546</v>
      </c>
      <c r="C10" s="460">
        <f>+'Realisasi pembiayaan'!C14</f>
        <v>5685504136</v>
      </c>
      <c r="D10" s="460">
        <f>+'Realisasi pembiayaan'!D14</f>
        <v>9238767049</v>
      </c>
      <c r="E10" s="460">
        <f>+'Realisasi pembiayaan'!E14</f>
        <v>7427192600</v>
      </c>
      <c r="F10" s="460">
        <f>+'Realisasi pembiayaan'!F14</f>
        <v>9647659020</v>
      </c>
      <c r="G10" s="460">
        <f>+'Realisasi pembiayaan'!G14</f>
        <v>14963113944</v>
      </c>
    </row>
    <row r="11" spans="1:11">
      <c r="A11" s="459"/>
      <c r="B11" s="458"/>
      <c r="C11" s="460"/>
      <c r="D11" s="460"/>
      <c r="E11" s="460"/>
      <c r="F11" s="460"/>
      <c r="G11" s="460"/>
    </row>
    <row r="12" spans="1:11">
      <c r="A12" s="459" t="s">
        <v>516</v>
      </c>
      <c r="B12" s="458" t="s">
        <v>547</v>
      </c>
      <c r="C12" s="460">
        <f>+C7-C9-C10</f>
        <v>-40428258079</v>
      </c>
      <c r="D12" s="460">
        <f>+D7-D9-D10</f>
        <v>6917485183</v>
      </c>
      <c r="E12" s="460">
        <f>+E7-E9-E10</f>
        <v>6028662929</v>
      </c>
      <c r="F12" s="460">
        <f>+F7-F9-F10</f>
        <v>-2328317941</v>
      </c>
      <c r="G12" s="460">
        <f>+G7-G9-G10</f>
        <v>-4471700249</v>
      </c>
    </row>
    <row r="13" spans="1:11">
      <c r="A13" s="459"/>
      <c r="B13" s="458" t="s">
        <v>549</v>
      </c>
      <c r="C13" s="460"/>
      <c r="D13" s="460"/>
      <c r="E13" s="460"/>
      <c r="F13" s="460"/>
      <c r="G13" s="460"/>
    </row>
    <row r="14" spans="1:11">
      <c r="A14" s="459"/>
      <c r="B14" s="458"/>
      <c r="C14" s="460"/>
      <c r="D14" s="460"/>
      <c r="E14" s="460"/>
      <c r="F14" s="460"/>
      <c r="G14" s="460"/>
    </row>
    <row r="15" spans="1:11">
      <c r="A15" s="459">
        <v>4</v>
      </c>
      <c r="B15" s="458" t="s">
        <v>10</v>
      </c>
      <c r="C15" s="460">
        <f>+'Realisasi pembiayaan'!C8</f>
        <v>56880649463</v>
      </c>
      <c r="D15" s="460">
        <f>+'Realisasi pembiayaan'!D8</f>
        <v>30233284008</v>
      </c>
      <c r="E15" s="460">
        <f>+'Realisasi pembiayaan'!E8</f>
        <v>39779853641</v>
      </c>
      <c r="F15" s="460">
        <f>+'Realisasi pembiayaan'!F8</f>
        <v>46221398450</v>
      </c>
      <c r="G15" s="460">
        <f>+'Realisasi pembiayaan'!G8</f>
        <v>44156820949</v>
      </c>
    </row>
    <row r="16" spans="1:11">
      <c r="A16" s="459">
        <v>5</v>
      </c>
      <c r="B16" s="458" t="s">
        <v>11</v>
      </c>
      <c r="C16" s="460">
        <f>+'Realisasi pembiayaan'!C9</f>
        <v>10426478900</v>
      </c>
      <c r="D16" s="460">
        <f>+'Realisasi pembiayaan'!D9</f>
        <v>0</v>
      </c>
      <c r="E16" s="460">
        <f>+'Realisasi pembiayaan'!E9</f>
        <v>0</v>
      </c>
      <c r="F16" s="460">
        <f>+'Realisasi pembiayaan'!F9</f>
        <v>0</v>
      </c>
      <c r="G16" s="460"/>
    </row>
    <row r="17" spans="1:7">
      <c r="A17" s="459">
        <v>6</v>
      </c>
      <c r="B17" s="458" t="s">
        <v>12</v>
      </c>
      <c r="C17" s="460">
        <f>+'Realisasi pembiayaan'!C10</f>
        <v>0</v>
      </c>
      <c r="D17" s="460">
        <f>+'Realisasi pembiayaan'!D10</f>
        <v>0</v>
      </c>
      <c r="E17" s="460">
        <f>+'Realisasi pembiayaan'!E10</f>
        <v>0</v>
      </c>
      <c r="F17" s="460">
        <f>+'Realisasi pembiayaan'!F10</f>
        <v>0</v>
      </c>
      <c r="G17" s="460"/>
    </row>
    <row r="18" spans="1:7">
      <c r="A18" s="459">
        <v>7</v>
      </c>
      <c r="B18" s="458" t="s">
        <v>504</v>
      </c>
      <c r="C18" s="460">
        <f>+'Realisasi pembiayaan'!C11</f>
        <v>3354413724</v>
      </c>
      <c r="D18" s="460">
        <f>+'Realisasi pembiayaan'!D11</f>
        <v>2629084460</v>
      </c>
      <c r="E18" s="460">
        <f>+'Realisasi pembiayaan'!E11</f>
        <v>412881880</v>
      </c>
      <c r="F18" s="460">
        <f>+'Realisasi pembiayaan'!F11</f>
        <v>263740440</v>
      </c>
      <c r="G18" s="460">
        <f>+'Realisasi pembiayaan'!G11</f>
        <v>2091426555</v>
      </c>
    </row>
    <row r="19" spans="1:7">
      <c r="A19" s="459">
        <v>8</v>
      </c>
      <c r="B19" s="458" t="s">
        <v>13</v>
      </c>
      <c r="C19" s="460">
        <f>+'Realisasi pembiayaan'!C12</f>
        <v>0</v>
      </c>
      <c r="D19" s="460">
        <f>+'Realisasi pembiayaan'!D12</f>
        <v>0</v>
      </c>
      <c r="E19" s="460">
        <f>+'Realisasi pembiayaan'!E12</f>
        <v>0</v>
      </c>
      <c r="F19" s="460">
        <f>+'Realisasi pembiayaan'!F12</f>
        <v>0</v>
      </c>
      <c r="G19" s="460"/>
    </row>
    <row r="20" spans="1:7">
      <c r="A20" s="459"/>
      <c r="B20" s="458"/>
      <c r="C20" s="460"/>
      <c r="D20" s="460"/>
      <c r="E20" s="460"/>
      <c r="F20" s="460"/>
      <c r="G20" s="460"/>
    </row>
    <row r="21" spans="1:7">
      <c r="A21" s="459" t="s">
        <v>517</v>
      </c>
      <c r="B21" s="458" t="s">
        <v>548</v>
      </c>
      <c r="C21" s="460">
        <f>SUM(C15:C19)</f>
        <v>70661542087</v>
      </c>
      <c r="D21" s="460">
        <f t="shared" ref="D21:G21" si="0">SUM(D15:D19)</f>
        <v>32862368468</v>
      </c>
      <c r="E21" s="460">
        <f t="shared" si="0"/>
        <v>40192735521</v>
      </c>
      <c r="F21" s="460">
        <f t="shared" si="0"/>
        <v>46485138890</v>
      </c>
      <c r="G21" s="460">
        <f t="shared" si="0"/>
        <v>46248247504</v>
      </c>
    </row>
    <row r="22" spans="1:7">
      <c r="A22" s="459"/>
      <c r="B22" s="458"/>
      <c r="C22" s="460"/>
      <c r="D22" s="460"/>
      <c r="E22" s="460"/>
      <c r="F22" s="460"/>
      <c r="G22" s="460"/>
    </row>
    <row r="23" spans="1:7">
      <c r="A23" s="459" t="s">
        <v>550</v>
      </c>
      <c r="B23" s="458" t="s">
        <v>551</v>
      </c>
      <c r="C23" s="460">
        <f>+C12+C21</f>
        <v>30233284008</v>
      </c>
      <c r="D23" s="460">
        <f t="shared" ref="D23:G23" si="1">+D12+D21</f>
        <v>39779853651</v>
      </c>
      <c r="E23" s="460">
        <f t="shared" si="1"/>
        <v>46221398450</v>
      </c>
      <c r="F23" s="460">
        <f t="shared" si="1"/>
        <v>44156820949</v>
      </c>
      <c r="G23" s="460">
        <f t="shared" si="1"/>
        <v>41776547255</v>
      </c>
    </row>
    <row r="24" spans="1:7">
      <c r="A24" s="458"/>
      <c r="B24" s="458"/>
      <c r="C24" s="460"/>
      <c r="D24" s="460"/>
      <c r="E24" s="460"/>
      <c r="F24" s="460"/>
      <c r="G24" s="460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XFD24"/>
  <sheetViews>
    <sheetView workbookViewId="0">
      <selection activeCell="A5" sqref="A5:L20"/>
    </sheetView>
  </sheetViews>
  <sheetFormatPr defaultRowHeight="11.25"/>
  <cols>
    <col min="1" max="1" width="4" style="6" bestFit="1" customWidth="1"/>
    <col min="2" max="2" width="34.85546875" style="6" customWidth="1"/>
    <col min="3" max="3" width="15.7109375" style="7" hidden="1" customWidth="1"/>
    <col min="4" max="4" width="15.7109375" style="7" customWidth="1"/>
    <col min="5" max="5" width="15.7109375" style="7" hidden="1" customWidth="1"/>
    <col min="6" max="6" width="15.7109375" style="7" customWidth="1"/>
    <col min="7" max="7" width="15.7109375" style="7" hidden="1" customWidth="1"/>
    <col min="8" max="8" width="15.7109375" style="7" customWidth="1"/>
    <col min="9" max="9" width="15.7109375" style="7" hidden="1" customWidth="1"/>
    <col min="10" max="10" width="15.7109375" style="7" customWidth="1"/>
    <col min="11" max="11" width="15.7109375" style="7" hidden="1" customWidth="1"/>
    <col min="12" max="14" width="9.140625" style="6"/>
    <col min="15" max="15" width="22.5703125" style="466" customWidth="1"/>
    <col min="16" max="16384" width="9.140625" style="6"/>
  </cols>
  <sheetData>
    <row r="1" spans="1:16384">
      <c r="A1" s="525" t="s">
        <v>553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</row>
    <row r="2" spans="1:16384">
      <c r="A2" s="525" t="s">
        <v>543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525"/>
      <c r="BX2" s="525"/>
      <c r="BY2" s="525"/>
      <c r="BZ2" s="525"/>
      <c r="CA2" s="525"/>
      <c r="CB2" s="525"/>
      <c r="CC2" s="525"/>
      <c r="CD2" s="525"/>
      <c r="CE2" s="525"/>
      <c r="CF2" s="525"/>
      <c r="CG2" s="525"/>
      <c r="CH2" s="525"/>
      <c r="CI2" s="525"/>
      <c r="CJ2" s="525"/>
      <c r="CK2" s="525"/>
      <c r="CL2" s="525"/>
      <c r="CM2" s="525"/>
      <c r="CN2" s="525"/>
      <c r="CO2" s="525"/>
      <c r="CP2" s="525"/>
      <c r="CQ2" s="525"/>
      <c r="CR2" s="525"/>
      <c r="CS2" s="525"/>
      <c r="CT2" s="525"/>
      <c r="CU2" s="525"/>
      <c r="CV2" s="525"/>
      <c r="CW2" s="525"/>
      <c r="CX2" s="525"/>
      <c r="CY2" s="525"/>
      <c r="CZ2" s="525"/>
      <c r="DA2" s="525"/>
      <c r="DB2" s="525"/>
      <c r="DC2" s="525"/>
      <c r="DD2" s="525"/>
      <c r="DE2" s="525"/>
      <c r="DF2" s="525"/>
      <c r="DG2" s="525"/>
      <c r="DH2" s="525"/>
      <c r="DI2" s="525"/>
      <c r="DJ2" s="525"/>
      <c r="DK2" s="525"/>
      <c r="DL2" s="525"/>
      <c r="DM2" s="525"/>
      <c r="DN2" s="525"/>
      <c r="DO2" s="525"/>
      <c r="DP2" s="525"/>
      <c r="DQ2" s="525"/>
      <c r="DR2" s="525"/>
      <c r="DS2" s="525"/>
      <c r="DT2" s="525"/>
      <c r="DU2" s="525"/>
      <c r="DV2" s="525"/>
      <c r="DW2" s="525"/>
      <c r="DX2" s="525"/>
      <c r="DY2" s="525"/>
      <c r="DZ2" s="525"/>
      <c r="EA2" s="525"/>
      <c r="EB2" s="525"/>
      <c r="EC2" s="525"/>
      <c r="ED2" s="525"/>
      <c r="EE2" s="525"/>
      <c r="EF2" s="525"/>
      <c r="EG2" s="525"/>
      <c r="EH2" s="525"/>
      <c r="EI2" s="525"/>
      <c r="EJ2" s="525"/>
      <c r="EK2" s="525"/>
      <c r="EL2" s="525"/>
      <c r="EM2" s="525"/>
      <c r="EN2" s="525"/>
      <c r="EO2" s="525"/>
      <c r="EP2" s="525"/>
      <c r="EQ2" s="525"/>
      <c r="ER2" s="525"/>
      <c r="ES2" s="525"/>
      <c r="ET2" s="525"/>
      <c r="EU2" s="525"/>
      <c r="EV2" s="525"/>
      <c r="EW2" s="525"/>
      <c r="EX2" s="525"/>
      <c r="EY2" s="525"/>
      <c r="EZ2" s="525"/>
      <c r="FA2" s="525"/>
      <c r="FB2" s="525"/>
      <c r="FC2" s="525"/>
      <c r="FD2" s="525"/>
      <c r="FE2" s="525"/>
      <c r="FF2" s="525"/>
      <c r="FG2" s="525"/>
      <c r="FH2" s="525"/>
      <c r="FI2" s="525"/>
      <c r="FJ2" s="525"/>
      <c r="FK2" s="525"/>
      <c r="FL2" s="525"/>
      <c r="FM2" s="525"/>
      <c r="FN2" s="525"/>
      <c r="FO2" s="525"/>
      <c r="FP2" s="525"/>
      <c r="FQ2" s="525"/>
      <c r="FR2" s="525"/>
      <c r="FS2" s="525"/>
      <c r="FT2" s="525"/>
      <c r="FU2" s="525"/>
      <c r="FV2" s="525"/>
      <c r="FW2" s="525"/>
      <c r="FX2" s="525"/>
      <c r="FY2" s="525"/>
      <c r="FZ2" s="525"/>
      <c r="GA2" s="525"/>
      <c r="GB2" s="525"/>
      <c r="GC2" s="525"/>
      <c r="GD2" s="525"/>
      <c r="GE2" s="525"/>
      <c r="GF2" s="525"/>
      <c r="GG2" s="525"/>
      <c r="GH2" s="525"/>
      <c r="GI2" s="525"/>
      <c r="GJ2" s="525"/>
      <c r="GK2" s="525"/>
      <c r="GL2" s="525"/>
      <c r="GM2" s="525"/>
      <c r="GN2" s="525"/>
      <c r="GO2" s="525"/>
      <c r="GP2" s="525"/>
      <c r="GQ2" s="525"/>
      <c r="GR2" s="525"/>
      <c r="GS2" s="525"/>
      <c r="GT2" s="525"/>
      <c r="GU2" s="525"/>
      <c r="GV2" s="525"/>
      <c r="GW2" s="525"/>
      <c r="GX2" s="525"/>
      <c r="GY2" s="525"/>
      <c r="GZ2" s="525"/>
      <c r="HA2" s="525"/>
      <c r="HB2" s="525"/>
      <c r="HC2" s="525"/>
      <c r="HD2" s="525"/>
      <c r="HE2" s="525"/>
      <c r="HF2" s="525"/>
      <c r="HG2" s="525"/>
      <c r="HH2" s="525"/>
      <c r="HI2" s="525"/>
      <c r="HJ2" s="525"/>
      <c r="HK2" s="525"/>
      <c r="HL2" s="525"/>
      <c r="HM2" s="525"/>
      <c r="HN2" s="525"/>
      <c r="HO2" s="525"/>
      <c r="HP2" s="525"/>
      <c r="HQ2" s="525"/>
      <c r="HR2" s="525"/>
      <c r="HS2" s="525"/>
      <c r="HT2" s="525"/>
      <c r="HU2" s="525"/>
      <c r="HV2" s="525"/>
      <c r="HW2" s="525"/>
      <c r="HX2" s="525"/>
      <c r="HY2" s="525"/>
      <c r="HZ2" s="525"/>
      <c r="IA2" s="525"/>
      <c r="IB2" s="525"/>
      <c r="IC2" s="525"/>
      <c r="ID2" s="525"/>
      <c r="IE2" s="525"/>
      <c r="IF2" s="525"/>
      <c r="IG2" s="525"/>
      <c r="IH2" s="525"/>
      <c r="II2" s="525"/>
      <c r="IJ2" s="525"/>
      <c r="IK2" s="525"/>
      <c r="IL2" s="525"/>
      <c r="IM2" s="525"/>
      <c r="IN2" s="525"/>
      <c r="IO2" s="525"/>
      <c r="IP2" s="525"/>
      <c r="IQ2" s="525"/>
      <c r="IR2" s="525"/>
      <c r="IS2" s="525"/>
      <c r="IT2" s="525"/>
      <c r="IU2" s="525"/>
      <c r="IV2" s="525"/>
      <c r="IW2" s="525"/>
      <c r="IX2" s="525"/>
      <c r="IY2" s="525"/>
      <c r="IZ2" s="525"/>
      <c r="JA2" s="525"/>
      <c r="JB2" s="525"/>
      <c r="JC2" s="525"/>
      <c r="JD2" s="525"/>
      <c r="JE2" s="525"/>
      <c r="JF2" s="525"/>
      <c r="JG2" s="525"/>
      <c r="JH2" s="525"/>
      <c r="JI2" s="525"/>
      <c r="JJ2" s="525"/>
      <c r="JK2" s="525"/>
      <c r="JL2" s="525"/>
      <c r="JM2" s="525"/>
      <c r="JN2" s="525"/>
      <c r="JO2" s="525"/>
      <c r="JP2" s="525"/>
      <c r="JQ2" s="525"/>
      <c r="JR2" s="525"/>
      <c r="JS2" s="525"/>
      <c r="JT2" s="525"/>
      <c r="JU2" s="525"/>
      <c r="JV2" s="525"/>
      <c r="JW2" s="525"/>
      <c r="JX2" s="525"/>
      <c r="JY2" s="525"/>
      <c r="JZ2" s="525"/>
      <c r="KA2" s="525"/>
      <c r="KB2" s="525"/>
      <c r="KC2" s="525"/>
      <c r="KD2" s="525"/>
      <c r="KE2" s="525"/>
      <c r="KF2" s="525"/>
      <c r="KG2" s="525"/>
      <c r="KH2" s="525"/>
      <c r="KI2" s="525"/>
      <c r="KJ2" s="525"/>
      <c r="KK2" s="525"/>
      <c r="KL2" s="525"/>
      <c r="KM2" s="525"/>
      <c r="KN2" s="525"/>
      <c r="KO2" s="525"/>
      <c r="KP2" s="525"/>
      <c r="KQ2" s="525"/>
      <c r="KR2" s="525"/>
      <c r="KS2" s="525"/>
      <c r="KT2" s="525"/>
      <c r="KU2" s="525"/>
      <c r="KV2" s="525"/>
      <c r="KW2" s="525"/>
      <c r="KX2" s="525"/>
      <c r="KY2" s="525"/>
      <c r="KZ2" s="525"/>
      <c r="LA2" s="525"/>
      <c r="LB2" s="525"/>
      <c r="LC2" s="525"/>
      <c r="LD2" s="525"/>
      <c r="LE2" s="525"/>
      <c r="LF2" s="525"/>
      <c r="LG2" s="525"/>
      <c r="LH2" s="525"/>
      <c r="LI2" s="525"/>
      <c r="LJ2" s="525"/>
      <c r="LK2" s="525"/>
      <c r="LL2" s="525"/>
      <c r="LM2" s="525"/>
      <c r="LN2" s="525"/>
      <c r="LO2" s="525"/>
      <c r="LP2" s="525"/>
      <c r="LQ2" s="525"/>
      <c r="LR2" s="525"/>
      <c r="LS2" s="525"/>
      <c r="LT2" s="525"/>
      <c r="LU2" s="525"/>
      <c r="LV2" s="525"/>
      <c r="LW2" s="525"/>
      <c r="LX2" s="525"/>
      <c r="LY2" s="525"/>
      <c r="LZ2" s="525"/>
      <c r="MA2" s="525"/>
      <c r="MB2" s="525"/>
      <c r="MC2" s="525"/>
      <c r="MD2" s="525"/>
      <c r="ME2" s="525"/>
      <c r="MF2" s="525"/>
      <c r="MG2" s="525"/>
      <c r="MH2" s="525"/>
      <c r="MI2" s="525"/>
      <c r="MJ2" s="525"/>
      <c r="MK2" s="525"/>
      <c r="ML2" s="525"/>
      <c r="MM2" s="525"/>
      <c r="MN2" s="525"/>
      <c r="MO2" s="525"/>
      <c r="MP2" s="525"/>
      <c r="MQ2" s="525"/>
      <c r="MR2" s="525"/>
      <c r="MS2" s="525"/>
      <c r="MT2" s="525"/>
      <c r="MU2" s="525"/>
      <c r="MV2" s="525"/>
      <c r="MW2" s="525"/>
      <c r="MX2" s="525"/>
      <c r="MY2" s="525"/>
      <c r="MZ2" s="525"/>
      <c r="NA2" s="525"/>
      <c r="NB2" s="525"/>
      <c r="NC2" s="525"/>
      <c r="ND2" s="525"/>
      <c r="NE2" s="525"/>
      <c r="NF2" s="525"/>
      <c r="NG2" s="525"/>
      <c r="NH2" s="525"/>
      <c r="NI2" s="525"/>
      <c r="NJ2" s="525"/>
      <c r="NK2" s="525"/>
      <c r="NL2" s="525"/>
      <c r="NM2" s="525"/>
      <c r="NN2" s="525"/>
      <c r="NO2" s="525"/>
      <c r="NP2" s="525"/>
      <c r="NQ2" s="525"/>
      <c r="NR2" s="525"/>
      <c r="NS2" s="525"/>
      <c r="NT2" s="525"/>
      <c r="NU2" s="525"/>
      <c r="NV2" s="525"/>
      <c r="NW2" s="525"/>
      <c r="NX2" s="525"/>
      <c r="NY2" s="525"/>
      <c r="NZ2" s="525"/>
      <c r="OA2" s="525"/>
      <c r="OB2" s="525"/>
      <c r="OC2" s="525"/>
      <c r="OD2" s="525"/>
      <c r="OE2" s="525"/>
      <c r="OF2" s="525"/>
      <c r="OG2" s="525"/>
      <c r="OH2" s="525"/>
      <c r="OI2" s="525"/>
      <c r="OJ2" s="525"/>
      <c r="OK2" s="525"/>
      <c r="OL2" s="525"/>
      <c r="OM2" s="525"/>
      <c r="ON2" s="525"/>
      <c r="OO2" s="525"/>
      <c r="OP2" s="525"/>
      <c r="OQ2" s="525"/>
      <c r="OR2" s="525"/>
      <c r="OS2" s="525"/>
      <c r="OT2" s="525"/>
      <c r="OU2" s="525"/>
      <c r="OV2" s="525"/>
      <c r="OW2" s="525"/>
      <c r="OX2" s="525"/>
      <c r="OY2" s="525"/>
      <c r="OZ2" s="525"/>
      <c r="PA2" s="525"/>
      <c r="PB2" s="525"/>
      <c r="PC2" s="525"/>
      <c r="PD2" s="525"/>
      <c r="PE2" s="525"/>
      <c r="PF2" s="525"/>
      <c r="PG2" s="525"/>
      <c r="PH2" s="525"/>
      <c r="PI2" s="525"/>
      <c r="PJ2" s="525"/>
      <c r="PK2" s="525"/>
      <c r="PL2" s="525"/>
      <c r="PM2" s="525"/>
      <c r="PN2" s="525"/>
      <c r="PO2" s="525"/>
      <c r="PP2" s="525"/>
      <c r="PQ2" s="525"/>
      <c r="PR2" s="525"/>
      <c r="PS2" s="525"/>
      <c r="PT2" s="525"/>
      <c r="PU2" s="525"/>
      <c r="PV2" s="525"/>
      <c r="PW2" s="525"/>
      <c r="PX2" s="525"/>
      <c r="PY2" s="525"/>
      <c r="PZ2" s="525"/>
      <c r="QA2" s="525"/>
      <c r="QB2" s="525"/>
      <c r="QC2" s="525"/>
      <c r="QD2" s="525"/>
      <c r="QE2" s="525"/>
      <c r="QF2" s="525"/>
      <c r="QG2" s="525"/>
      <c r="QH2" s="525"/>
      <c r="QI2" s="525"/>
      <c r="QJ2" s="525"/>
      <c r="QK2" s="525"/>
      <c r="QL2" s="525"/>
      <c r="QM2" s="525"/>
      <c r="QN2" s="525"/>
      <c r="QO2" s="525"/>
      <c r="QP2" s="525"/>
      <c r="QQ2" s="525"/>
      <c r="QR2" s="525"/>
      <c r="QS2" s="525"/>
      <c r="QT2" s="525"/>
      <c r="QU2" s="525"/>
      <c r="QV2" s="525"/>
      <c r="QW2" s="525"/>
      <c r="QX2" s="525"/>
      <c r="QY2" s="525"/>
      <c r="QZ2" s="525"/>
      <c r="RA2" s="525"/>
      <c r="RB2" s="525"/>
      <c r="RC2" s="525"/>
      <c r="RD2" s="525"/>
      <c r="RE2" s="525"/>
      <c r="RF2" s="525"/>
      <c r="RG2" s="525"/>
      <c r="RH2" s="525"/>
      <c r="RI2" s="525"/>
      <c r="RJ2" s="525"/>
      <c r="RK2" s="525"/>
      <c r="RL2" s="525"/>
      <c r="RM2" s="525"/>
      <c r="RN2" s="525"/>
      <c r="RO2" s="525"/>
      <c r="RP2" s="525"/>
      <c r="RQ2" s="525"/>
      <c r="RR2" s="525"/>
      <c r="RS2" s="525"/>
      <c r="RT2" s="525"/>
      <c r="RU2" s="525"/>
      <c r="RV2" s="525"/>
      <c r="RW2" s="525"/>
      <c r="RX2" s="525"/>
      <c r="RY2" s="525"/>
      <c r="RZ2" s="525"/>
      <c r="SA2" s="525"/>
      <c r="SB2" s="525"/>
      <c r="SC2" s="525"/>
      <c r="SD2" s="525"/>
      <c r="SE2" s="525"/>
      <c r="SF2" s="525"/>
      <c r="SG2" s="525"/>
      <c r="SH2" s="525"/>
      <c r="SI2" s="525"/>
      <c r="SJ2" s="525"/>
      <c r="SK2" s="525"/>
      <c r="SL2" s="525"/>
      <c r="SM2" s="525"/>
      <c r="SN2" s="525"/>
      <c r="SO2" s="525"/>
      <c r="SP2" s="525"/>
      <c r="SQ2" s="525"/>
      <c r="SR2" s="525"/>
      <c r="SS2" s="525"/>
      <c r="ST2" s="525"/>
      <c r="SU2" s="525"/>
      <c r="SV2" s="525"/>
      <c r="SW2" s="525"/>
      <c r="SX2" s="525"/>
      <c r="SY2" s="525"/>
      <c r="SZ2" s="525"/>
      <c r="TA2" s="525"/>
      <c r="TB2" s="525"/>
      <c r="TC2" s="525"/>
      <c r="TD2" s="525"/>
      <c r="TE2" s="525"/>
      <c r="TF2" s="525"/>
      <c r="TG2" s="525"/>
      <c r="TH2" s="525"/>
      <c r="TI2" s="525"/>
      <c r="TJ2" s="525"/>
      <c r="TK2" s="525"/>
      <c r="TL2" s="525"/>
      <c r="TM2" s="525"/>
      <c r="TN2" s="525"/>
      <c r="TO2" s="525"/>
      <c r="TP2" s="525"/>
      <c r="TQ2" s="525"/>
      <c r="TR2" s="525"/>
      <c r="TS2" s="525"/>
      <c r="TT2" s="525"/>
      <c r="TU2" s="525"/>
      <c r="TV2" s="525"/>
      <c r="TW2" s="525"/>
      <c r="TX2" s="525"/>
      <c r="TY2" s="525"/>
      <c r="TZ2" s="525"/>
      <c r="UA2" s="525"/>
      <c r="UB2" s="525"/>
      <c r="UC2" s="525"/>
      <c r="UD2" s="525"/>
      <c r="UE2" s="525"/>
      <c r="UF2" s="525"/>
      <c r="UG2" s="525"/>
      <c r="UH2" s="525"/>
      <c r="UI2" s="525"/>
      <c r="UJ2" s="525"/>
      <c r="UK2" s="525"/>
      <c r="UL2" s="525"/>
      <c r="UM2" s="525"/>
      <c r="UN2" s="525"/>
      <c r="UO2" s="525"/>
      <c r="UP2" s="525"/>
      <c r="UQ2" s="525"/>
      <c r="UR2" s="525"/>
      <c r="US2" s="525"/>
      <c r="UT2" s="525"/>
      <c r="UU2" s="525"/>
      <c r="UV2" s="525"/>
      <c r="UW2" s="525"/>
      <c r="UX2" s="525"/>
      <c r="UY2" s="525"/>
      <c r="UZ2" s="525"/>
      <c r="VA2" s="525"/>
      <c r="VB2" s="525"/>
      <c r="VC2" s="525"/>
      <c r="VD2" s="525"/>
      <c r="VE2" s="525"/>
      <c r="VF2" s="525"/>
      <c r="VG2" s="525"/>
      <c r="VH2" s="525"/>
      <c r="VI2" s="525"/>
      <c r="VJ2" s="525"/>
      <c r="VK2" s="525"/>
      <c r="VL2" s="525"/>
      <c r="VM2" s="525"/>
      <c r="VN2" s="525"/>
      <c r="VO2" s="525"/>
      <c r="VP2" s="525"/>
      <c r="VQ2" s="525"/>
      <c r="VR2" s="525"/>
      <c r="VS2" s="525"/>
      <c r="VT2" s="525"/>
      <c r="VU2" s="525"/>
      <c r="VV2" s="525"/>
      <c r="VW2" s="525"/>
      <c r="VX2" s="525"/>
      <c r="VY2" s="525"/>
      <c r="VZ2" s="525"/>
      <c r="WA2" s="525"/>
      <c r="WB2" s="525"/>
      <c r="WC2" s="525"/>
      <c r="WD2" s="525"/>
      <c r="WE2" s="525"/>
      <c r="WF2" s="525"/>
      <c r="WG2" s="525"/>
      <c r="WH2" s="525"/>
      <c r="WI2" s="525"/>
      <c r="WJ2" s="525"/>
      <c r="WK2" s="525"/>
      <c r="WL2" s="525"/>
      <c r="WM2" s="525"/>
      <c r="WN2" s="525"/>
      <c r="WO2" s="525"/>
      <c r="WP2" s="525"/>
      <c r="WQ2" s="525"/>
      <c r="WR2" s="525"/>
      <c r="WS2" s="525"/>
      <c r="WT2" s="525"/>
      <c r="WU2" s="525"/>
      <c r="WV2" s="525"/>
      <c r="WW2" s="525"/>
      <c r="WX2" s="525"/>
      <c r="WY2" s="525"/>
      <c r="WZ2" s="525"/>
      <c r="XA2" s="525"/>
      <c r="XB2" s="525"/>
      <c r="XC2" s="525"/>
      <c r="XD2" s="525"/>
      <c r="XE2" s="525"/>
      <c r="XF2" s="525"/>
      <c r="XG2" s="525"/>
      <c r="XH2" s="525"/>
      <c r="XI2" s="525"/>
      <c r="XJ2" s="525"/>
      <c r="XK2" s="525"/>
      <c r="XL2" s="525"/>
      <c r="XM2" s="525"/>
      <c r="XN2" s="525"/>
      <c r="XO2" s="525"/>
      <c r="XP2" s="525"/>
      <c r="XQ2" s="525"/>
      <c r="XR2" s="525"/>
      <c r="XS2" s="525"/>
      <c r="XT2" s="525"/>
      <c r="XU2" s="525"/>
      <c r="XV2" s="525"/>
      <c r="XW2" s="525"/>
      <c r="XX2" s="525"/>
      <c r="XY2" s="525"/>
      <c r="XZ2" s="525"/>
      <c r="YA2" s="525"/>
      <c r="YB2" s="525"/>
      <c r="YC2" s="525"/>
      <c r="YD2" s="525"/>
      <c r="YE2" s="525"/>
      <c r="YF2" s="525"/>
      <c r="YG2" s="525"/>
      <c r="YH2" s="525"/>
      <c r="YI2" s="525"/>
      <c r="YJ2" s="525"/>
      <c r="YK2" s="525"/>
      <c r="YL2" s="525"/>
      <c r="YM2" s="525"/>
      <c r="YN2" s="525"/>
      <c r="YO2" s="525"/>
      <c r="YP2" s="525"/>
      <c r="YQ2" s="525"/>
      <c r="YR2" s="525"/>
      <c r="YS2" s="525"/>
      <c r="YT2" s="525"/>
      <c r="YU2" s="525"/>
      <c r="YV2" s="525"/>
      <c r="YW2" s="525"/>
      <c r="YX2" s="525"/>
      <c r="YY2" s="525"/>
      <c r="YZ2" s="525"/>
      <c r="ZA2" s="525"/>
      <c r="ZB2" s="525"/>
      <c r="ZC2" s="525"/>
      <c r="ZD2" s="525"/>
      <c r="ZE2" s="525"/>
      <c r="ZF2" s="525"/>
      <c r="ZG2" s="525"/>
      <c r="ZH2" s="525"/>
      <c r="ZI2" s="525"/>
      <c r="ZJ2" s="525"/>
      <c r="ZK2" s="525"/>
      <c r="ZL2" s="525"/>
      <c r="ZM2" s="525"/>
      <c r="ZN2" s="525"/>
      <c r="ZO2" s="525"/>
      <c r="ZP2" s="525"/>
      <c r="ZQ2" s="525"/>
      <c r="ZR2" s="525"/>
      <c r="ZS2" s="525"/>
      <c r="ZT2" s="525"/>
      <c r="ZU2" s="525"/>
      <c r="ZV2" s="525"/>
      <c r="ZW2" s="525"/>
      <c r="ZX2" s="525"/>
      <c r="ZY2" s="525"/>
      <c r="ZZ2" s="525"/>
      <c r="AAA2" s="525"/>
      <c r="AAB2" s="525"/>
      <c r="AAC2" s="525"/>
      <c r="AAD2" s="525"/>
      <c r="AAE2" s="525"/>
      <c r="AAF2" s="525"/>
      <c r="AAG2" s="525"/>
      <c r="AAH2" s="525"/>
      <c r="AAI2" s="525"/>
      <c r="AAJ2" s="525"/>
      <c r="AAK2" s="525"/>
      <c r="AAL2" s="525"/>
      <c r="AAM2" s="525"/>
      <c r="AAN2" s="525"/>
      <c r="AAO2" s="525"/>
      <c r="AAP2" s="525"/>
      <c r="AAQ2" s="525"/>
      <c r="AAR2" s="525"/>
      <c r="AAS2" s="525"/>
      <c r="AAT2" s="525"/>
      <c r="AAU2" s="525"/>
      <c r="AAV2" s="525"/>
      <c r="AAW2" s="525"/>
      <c r="AAX2" s="525"/>
      <c r="AAY2" s="525"/>
      <c r="AAZ2" s="525"/>
      <c r="ABA2" s="525"/>
      <c r="ABB2" s="525"/>
      <c r="ABC2" s="525"/>
      <c r="ABD2" s="525"/>
      <c r="ABE2" s="525"/>
      <c r="ABF2" s="525"/>
      <c r="ABG2" s="525"/>
      <c r="ABH2" s="525"/>
      <c r="ABI2" s="525"/>
      <c r="ABJ2" s="525"/>
      <c r="ABK2" s="525"/>
      <c r="ABL2" s="525"/>
      <c r="ABM2" s="525"/>
      <c r="ABN2" s="525"/>
      <c r="ABO2" s="525"/>
      <c r="ABP2" s="525"/>
      <c r="ABQ2" s="525"/>
      <c r="ABR2" s="525"/>
      <c r="ABS2" s="525"/>
      <c r="ABT2" s="525"/>
      <c r="ABU2" s="525"/>
      <c r="ABV2" s="525"/>
      <c r="ABW2" s="525"/>
      <c r="ABX2" s="525"/>
      <c r="ABY2" s="525"/>
      <c r="ABZ2" s="525"/>
      <c r="ACA2" s="525"/>
      <c r="ACB2" s="525"/>
      <c r="ACC2" s="525"/>
      <c r="ACD2" s="525"/>
      <c r="ACE2" s="525"/>
      <c r="ACF2" s="525"/>
      <c r="ACG2" s="525"/>
      <c r="ACH2" s="525"/>
      <c r="ACI2" s="525"/>
      <c r="ACJ2" s="525"/>
      <c r="ACK2" s="525"/>
      <c r="ACL2" s="525"/>
      <c r="ACM2" s="525"/>
      <c r="ACN2" s="525"/>
      <c r="ACO2" s="525"/>
      <c r="ACP2" s="525"/>
      <c r="ACQ2" s="525"/>
      <c r="ACR2" s="525"/>
      <c r="ACS2" s="525"/>
      <c r="ACT2" s="525"/>
      <c r="ACU2" s="525"/>
      <c r="ACV2" s="525"/>
      <c r="ACW2" s="525"/>
      <c r="ACX2" s="525"/>
      <c r="ACY2" s="525"/>
      <c r="ACZ2" s="525"/>
      <c r="ADA2" s="525"/>
      <c r="ADB2" s="525"/>
      <c r="ADC2" s="525"/>
      <c r="ADD2" s="525"/>
      <c r="ADE2" s="525"/>
      <c r="ADF2" s="525"/>
      <c r="ADG2" s="525"/>
      <c r="ADH2" s="525"/>
      <c r="ADI2" s="525"/>
      <c r="ADJ2" s="525"/>
      <c r="ADK2" s="525"/>
      <c r="ADL2" s="525"/>
      <c r="ADM2" s="525"/>
      <c r="ADN2" s="525"/>
      <c r="ADO2" s="525"/>
      <c r="ADP2" s="525"/>
      <c r="ADQ2" s="525"/>
      <c r="ADR2" s="525"/>
      <c r="ADS2" s="525"/>
      <c r="ADT2" s="525"/>
      <c r="ADU2" s="525"/>
      <c r="ADV2" s="525"/>
      <c r="ADW2" s="525"/>
      <c r="ADX2" s="525"/>
      <c r="ADY2" s="525"/>
      <c r="ADZ2" s="525"/>
      <c r="AEA2" s="525"/>
      <c r="AEB2" s="525"/>
      <c r="AEC2" s="525"/>
      <c r="AED2" s="525"/>
      <c r="AEE2" s="525"/>
      <c r="AEF2" s="525"/>
      <c r="AEG2" s="525"/>
      <c r="AEH2" s="525"/>
      <c r="AEI2" s="525"/>
      <c r="AEJ2" s="525"/>
      <c r="AEK2" s="525"/>
      <c r="AEL2" s="525"/>
      <c r="AEM2" s="525"/>
      <c r="AEN2" s="525"/>
      <c r="AEO2" s="525"/>
      <c r="AEP2" s="525"/>
      <c r="AEQ2" s="525"/>
      <c r="AER2" s="525"/>
      <c r="AES2" s="525"/>
      <c r="AET2" s="525"/>
      <c r="AEU2" s="525"/>
      <c r="AEV2" s="525"/>
      <c r="AEW2" s="525"/>
      <c r="AEX2" s="525"/>
      <c r="AEY2" s="525"/>
      <c r="AEZ2" s="525"/>
      <c r="AFA2" s="525"/>
      <c r="AFB2" s="525"/>
      <c r="AFC2" s="525"/>
      <c r="AFD2" s="525"/>
      <c r="AFE2" s="525"/>
      <c r="AFF2" s="525"/>
      <c r="AFG2" s="525"/>
      <c r="AFH2" s="525"/>
      <c r="AFI2" s="525"/>
      <c r="AFJ2" s="525"/>
      <c r="AFK2" s="525"/>
      <c r="AFL2" s="525"/>
      <c r="AFM2" s="525"/>
      <c r="AFN2" s="525"/>
      <c r="AFO2" s="525"/>
      <c r="AFP2" s="525"/>
      <c r="AFQ2" s="525"/>
      <c r="AFR2" s="525"/>
      <c r="AFS2" s="525"/>
      <c r="AFT2" s="525"/>
      <c r="AFU2" s="525"/>
      <c r="AFV2" s="525"/>
      <c r="AFW2" s="525"/>
      <c r="AFX2" s="525"/>
      <c r="AFY2" s="525"/>
      <c r="AFZ2" s="525"/>
      <c r="AGA2" s="525"/>
      <c r="AGB2" s="525"/>
      <c r="AGC2" s="525"/>
      <c r="AGD2" s="525"/>
      <c r="AGE2" s="525"/>
      <c r="AGF2" s="525"/>
      <c r="AGG2" s="525"/>
      <c r="AGH2" s="525"/>
      <c r="AGI2" s="525"/>
      <c r="AGJ2" s="525"/>
      <c r="AGK2" s="525"/>
      <c r="AGL2" s="525"/>
      <c r="AGM2" s="525"/>
      <c r="AGN2" s="525"/>
      <c r="AGO2" s="525"/>
      <c r="AGP2" s="525"/>
      <c r="AGQ2" s="525"/>
      <c r="AGR2" s="525"/>
      <c r="AGS2" s="525"/>
      <c r="AGT2" s="525"/>
      <c r="AGU2" s="525"/>
      <c r="AGV2" s="525"/>
      <c r="AGW2" s="525"/>
      <c r="AGX2" s="525"/>
      <c r="AGY2" s="525"/>
      <c r="AGZ2" s="525"/>
      <c r="AHA2" s="525"/>
      <c r="AHB2" s="525"/>
      <c r="AHC2" s="525"/>
      <c r="AHD2" s="525"/>
      <c r="AHE2" s="525"/>
      <c r="AHF2" s="525"/>
      <c r="AHG2" s="525"/>
      <c r="AHH2" s="525"/>
      <c r="AHI2" s="525"/>
      <c r="AHJ2" s="525"/>
      <c r="AHK2" s="525"/>
      <c r="AHL2" s="525"/>
      <c r="AHM2" s="525"/>
      <c r="AHN2" s="525"/>
      <c r="AHO2" s="525"/>
      <c r="AHP2" s="525"/>
      <c r="AHQ2" s="525"/>
      <c r="AHR2" s="525"/>
      <c r="AHS2" s="525"/>
      <c r="AHT2" s="525"/>
      <c r="AHU2" s="525"/>
      <c r="AHV2" s="525"/>
      <c r="AHW2" s="525"/>
      <c r="AHX2" s="525"/>
      <c r="AHY2" s="525"/>
      <c r="AHZ2" s="525"/>
      <c r="AIA2" s="525"/>
      <c r="AIB2" s="525"/>
      <c r="AIC2" s="525"/>
      <c r="AID2" s="525"/>
      <c r="AIE2" s="525"/>
      <c r="AIF2" s="525"/>
      <c r="AIG2" s="525"/>
      <c r="AIH2" s="525"/>
      <c r="AII2" s="525"/>
      <c r="AIJ2" s="525"/>
      <c r="AIK2" s="525"/>
      <c r="AIL2" s="525"/>
      <c r="AIM2" s="525"/>
      <c r="AIN2" s="525"/>
      <c r="AIO2" s="525"/>
      <c r="AIP2" s="525"/>
      <c r="AIQ2" s="525"/>
      <c r="AIR2" s="525"/>
      <c r="AIS2" s="525"/>
      <c r="AIT2" s="525"/>
      <c r="AIU2" s="525"/>
      <c r="AIV2" s="525"/>
      <c r="AIW2" s="525"/>
      <c r="AIX2" s="525"/>
      <c r="AIY2" s="525"/>
      <c r="AIZ2" s="525"/>
      <c r="AJA2" s="525"/>
      <c r="AJB2" s="525"/>
      <c r="AJC2" s="525"/>
      <c r="AJD2" s="525"/>
      <c r="AJE2" s="525"/>
      <c r="AJF2" s="525"/>
      <c r="AJG2" s="525"/>
      <c r="AJH2" s="525"/>
      <c r="AJI2" s="525"/>
      <c r="AJJ2" s="525"/>
      <c r="AJK2" s="525"/>
      <c r="AJL2" s="525"/>
      <c r="AJM2" s="525"/>
      <c r="AJN2" s="525"/>
      <c r="AJO2" s="525"/>
      <c r="AJP2" s="525"/>
      <c r="AJQ2" s="525"/>
      <c r="AJR2" s="525"/>
      <c r="AJS2" s="525"/>
      <c r="AJT2" s="525"/>
      <c r="AJU2" s="525"/>
      <c r="AJV2" s="525"/>
      <c r="AJW2" s="525"/>
      <c r="AJX2" s="525"/>
      <c r="AJY2" s="525"/>
      <c r="AJZ2" s="525"/>
      <c r="AKA2" s="525"/>
      <c r="AKB2" s="525"/>
      <c r="AKC2" s="525"/>
      <c r="AKD2" s="525"/>
      <c r="AKE2" s="525"/>
      <c r="AKF2" s="525"/>
      <c r="AKG2" s="525"/>
      <c r="AKH2" s="525"/>
      <c r="AKI2" s="525"/>
      <c r="AKJ2" s="525"/>
      <c r="AKK2" s="525"/>
      <c r="AKL2" s="525"/>
      <c r="AKM2" s="525"/>
      <c r="AKN2" s="525"/>
      <c r="AKO2" s="525"/>
      <c r="AKP2" s="525"/>
      <c r="AKQ2" s="525"/>
      <c r="AKR2" s="525"/>
      <c r="AKS2" s="525"/>
      <c r="AKT2" s="525"/>
      <c r="AKU2" s="525"/>
      <c r="AKV2" s="525"/>
      <c r="AKW2" s="525"/>
      <c r="AKX2" s="525"/>
      <c r="AKY2" s="525"/>
      <c r="AKZ2" s="525"/>
      <c r="ALA2" s="525"/>
      <c r="ALB2" s="525"/>
      <c r="ALC2" s="525"/>
      <c r="ALD2" s="525"/>
      <c r="ALE2" s="525"/>
      <c r="ALF2" s="525"/>
      <c r="ALG2" s="525"/>
      <c r="ALH2" s="525"/>
      <c r="ALI2" s="525"/>
      <c r="ALJ2" s="525"/>
      <c r="ALK2" s="525"/>
      <c r="ALL2" s="525"/>
      <c r="ALM2" s="525"/>
      <c r="ALN2" s="525"/>
      <c r="ALO2" s="525"/>
      <c r="ALP2" s="525"/>
      <c r="ALQ2" s="525"/>
      <c r="ALR2" s="525"/>
      <c r="ALS2" s="525"/>
      <c r="ALT2" s="525"/>
      <c r="ALU2" s="525"/>
      <c r="ALV2" s="525"/>
      <c r="ALW2" s="525"/>
      <c r="ALX2" s="525"/>
      <c r="ALY2" s="525"/>
      <c r="ALZ2" s="525"/>
      <c r="AMA2" s="525"/>
      <c r="AMB2" s="525"/>
      <c r="AMC2" s="525"/>
      <c r="AMD2" s="525"/>
      <c r="AME2" s="525"/>
      <c r="AMF2" s="525"/>
      <c r="AMG2" s="525"/>
      <c r="AMH2" s="525"/>
      <c r="AMI2" s="525"/>
      <c r="AMJ2" s="525"/>
      <c r="AMK2" s="525"/>
      <c r="AML2" s="525"/>
      <c r="AMM2" s="525"/>
      <c r="AMN2" s="525"/>
      <c r="AMO2" s="525"/>
      <c r="AMP2" s="525"/>
      <c r="AMQ2" s="525"/>
      <c r="AMR2" s="525"/>
      <c r="AMS2" s="525"/>
      <c r="AMT2" s="525"/>
      <c r="AMU2" s="525"/>
      <c r="AMV2" s="525"/>
      <c r="AMW2" s="525"/>
      <c r="AMX2" s="525"/>
      <c r="AMY2" s="525"/>
      <c r="AMZ2" s="525"/>
      <c r="ANA2" s="525"/>
      <c r="ANB2" s="525"/>
      <c r="ANC2" s="525"/>
      <c r="AND2" s="525"/>
      <c r="ANE2" s="525"/>
      <c r="ANF2" s="525"/>
      <c r="ANG2" s="525"/>
      <c r="ANH2" s="525"/>
      <c r="ANI2" s="525"/>
      <c r="ANJ2" s="525"/>
      <c r="ANK2" s="525"/>
      <c r="ANL2" s="525"/>
      <c r="ANM2" s="525"/>
      <c r="ANN2" s="525"/>
      <c r="ANO2" s="525"/>
      <c r="ANP2" s="525"/>
      <c r="ANQ2" s="525"/>
      <c r="ANR2" s="525"/>
      <c r="ANS2" s="525"/>
      <c r="ANT2" s="525"/>
      <c r="ANU2" s="525"/>
      <c r="ANV2" s="525"/>
      <c r="ANW2" s="525"/>
      <c r="ANX2" s="525"/>
      <c r="ANY2" s="525"/>
      <c r="ANZ2" s="525"/>
      <c r="AOA2" s="525"/>
      <c r="AOB2" s="525"/>
      <c r="AOC2" s="525"/>
      <c r="AOD2" s="525"/>
      <c r="AOE2" s="525"/>
      <c r="AOF2" s="525"/>
      <c r="AOG2" s="525"/>
      <c r="AOH2" s="525"/>
      <c r="AOI2" s="525"/>
      <c r="AOJ2" s="525"/>
      <c r="AOK2" s="525"/>
      <c r="AOL2" s="525"/>
      <c r="AOM2" s="525"/>
      <c r="AON2" s="525"/>
      <c r="AOO2" s="525"/>
      <c r="AOP2" s="525"/>
      <c r="AOQ2" s="525"/>
      <c r="AOR2" s="525"/>
      <c r="AOS2" s="525"/>
      <c r="AOT2" s="525"/>
      <c r="AOU2" s="525"/>
      <c r="AOV2" s="525"/>
      <c r="AOW2" s="525"/>
      <c r="AOX2" s="525"/>
      <c r="AOY2" s="525"/>
      <c r="AOZ2" s="525"/>
      <c r="APA2" s="525"/>
      <c r="APB2" s="525"/>
      <c r="APC2" s="525"/>
      <c r="APD2" s="525"/>
      <c r="APE2" s="525"/>
      <c r="APF2" s="525"/>
      <c r="APG2" s="525"/>
      <c r="APH2" s="525"/>
      <c r="API2" s="525"/>
      <c r="APJ2" s="525"/>
      <c r="APK2" s="525"/>
      <c r="APL2" s="525"/>
      <c r="APM2" s="525"/>
      <c r="APN2" s="525"/>
      <c r="APO2" s="525"/>
      <c r="APP2" s="525"/>
      <c r="APQ2" s="525"/>
      <c r="APR2" s="525"/>
      <c r="APS2" s="525"/>
      <c r="APT2" s="525"/>
      <c r="APU2" s="525"/>
      <c r="APV2" s="525"/>
      <c r="APW2" s="525"/>
      <c r="APX2" s="525"/>
      <c r="APY2" s="525"/>
      <c r="APZ2" s="525"/>
      <c r="AQA2" s="525"/>
      <c r="AQB2" s="525"/>
      <c r="AQC2" s="525"/>
      <c r="AQD2" s="525"/>
      <c r="AQE2" s="525"/>
      <c r="AQF2" s="525"/>
      <c r="AQG2" s="525"/>
      <c r="AQH2" s="525"/>
      <c r="AQI2" s="525"/>
      <c r="AQJ2" s="525"/>
      <c r="AQK2" s="525"/>
      <c r="AQL2" s="525"/>
      <c r="AQM2" s="525"/>
      <c r="AQN2" s="525"/>
      <c r="AQO2" s="525"/>
      <c r="AQP2" s="525"/>
      <c r="AQQ2" s="525"/>
      <c r="AQR2" s="525"/>
      <c r="AQS2" s="525"/>
      <c r="AQT2" s="525"/>
      <c r="AQU2" s="525"/>
      <c r="AQV2" s="525"/>
      <c r="AQW2" s="525"/>
      <c r="AQX2" s="525"/>
      <c r="AQY2" s="525"/>
      <c r="AQZ2" s="525"/>
      <c r="ARA2" s="525"/>
      <c r="ARB2" s="525"/>
      <c r="ARC2" s="525"/>
      <c r="ARD2" s="525"/>
      <c r="ARE2" s="525"/>
      <c r="ARF2" s="525"/>
      <c r="ARG2" s="525"/>
      <c r="ARH2" s="525"/>
      <c r="ARI2" s="525"/>
      <c r="ARJ2" s="525"/>
      <c r="ARK2" s="525"/>
      <c r="ARL2" s="525"/>
      <c r="ARM2" s="525"/>
      <c r="ARN2" s="525"/>
      <c r="ARO2" s="525"/>
      <c r="ARP2" s="525"/>
      <c r="ARQ2" s="525"/>
      <c r="ARR2" s="525"/>
      <c r="ARS2" s="525"/>
      <c r="ART2" s="525"/>
      <c r="ARU2" s="525"/>
      <c r="ARV2" s="525"/>
      <c r="ARW2" s="525"/>
      <c r="ARX2" s="525"/>
      <c r="ARY2" s="525"/>
      <c r="ARZ2" s="525"/>
      <c r="ASA2" s="525"/>
      <c r="ASB2" s="525"/>
      <c r="ASC2" s="525"/>
      <c r="ASD2" s="525"/>
      <c r="ASE2" s="525"/>
      <c r="ASF2" s="525"/>
      <c r="ASG2" s="525"/>
      <c r="ASH2" s="525"/>
      <c r="ASI2" s="525"/>
      <c r="ASJ2" s="525"/>
      <c r="ASK2" s="525"/>
      <c r="ASL2" s="525"/>
      <c r="ASM2" s="525"/>
      <c r="ASN2" s="525"/>
      <c r="ASO2" s="525"/>
      <c r="ASP2" s="525"/>
      <c r="ASQ2" s="525"/>
      <c r="ASR2" s="525"/>
      <c r="ASS2" s="525"/>
      <c r="AST2" s="525"/>
      <c r="ASU2" s="525"/>
      <c r="ASV2" s="525"/>
      <c r="ASW2" s="525"/>
      <c r="ASX2" s="525"/>
      <c r="ASY2" s="525"/>
      <c r="ASZ2" s="525"/>
      <c r="ATA2" s="525"/>
      <c r="ATB2" s="525"/>
      <c r="ATC2" s="525"/>
      <c r="ATD2" s="525"/>
      <c r="ATE2" s="525"/>
      <c r="ATF2" s="525"/>
      <c r="ATG2" s="525"/>
      <c r="ATH2" s="525"/>
      <c r="ATI2" s="525"/>
      <c r="ATJ2" s="525"/>
      <c r="ATK2" s="525"/>
      <c r="ATL2" s="525"/>
      <c r="ATM2" s="525"/>
      <c r="ATN2" s="525"/>
      <c r="ATO2" s="525"/>
      <c r="ATP2" s="525"/>
      <c r="ATQ2" s="525"/>
      <c r="ATR2" s="525"/>
      <c r="ATS2" s="525"/>
      <c r="ATT2" s="525"/>
      <c r="ATU2" s="525"/>
      <c r="ATV2" s="525"/>
      <c r="ATW2" s="525"/>
      <c r="ATX2" s="525"/>
      <c r="ATY2" s="525"/>
      <c r="ATZ2" s="525"/>
      <c r="AUA2" s="525"/>
      <c r="AUB2" s="525"/>
      <c r="AUC2" s="525"/>
      <c r="AUD2" s="525"/>
      <c r="AUE2" s="525"/>
      <c r="AUF2" s="525"/>
      <c r="AUG2" s="525"/>
      <c r="AUH2" s="525"/>
      <c r="AUI2" s="525"/>
      <c r="AUJ2" s="525"/>
      <c r="AUK2" s="525"/>
      <c r="AUL2" s="525"/>
      <c r="AUM2" s="525"/>
      <c r="AUN2" s="525"/>
      <c r="AUO2" s="525"/>
      <c r="AUP2" s="525"/>
      <c r="AUQ2" s="525"/>
      <c r="AUR2" s="525"/>
      <c r="AUS2" s="525"/>
      <c r="AUT2" s="525"/>
      <c r="AUU2" s="525"/>
      <c r="AUV2" s="525"/>
      <c r="AUW2" s="525"/>
      <c r="AUX2" s="525"/>
      <c r="AUY2" s="525"/>
      <c r="AUZ2" s="525"/>
      <c r="AVA2" s="525"/>
      <c r="AVB2" s="525"/>
      <c r="AVC2" s="525"/>
      <c r="AVD2" s="525"/>
      <c r="AVE2" s="525"/>
      <c r="AVF2" s="525"/>
      <c r="AVG2" s="525"/>
      <c r="AVH2" s="525"/>
      <c r="AVI2" s="525"/>
      <c r="AVJ2" s="525"/>
      <c r="AVK2" s="525"/>
      <c r="AVL2" s="525"/>
      <c r="AVM2" s="525"/>
      <c r="AVN2" s="525"/>
      <c r="AVO2" s="525"/>
      <c r="AVP2" s="525"/>
      <c r="AVQ2" s="525"/>
      <c r="AVR2" s="525"/>
      <c r="AVS2" s="525"/>
      <c r="AVT2" s="525"/>
      <c r="AVU2" s="525"/>
      <c r="AVV2" s="525"/>
      <c r="AVW2" s="525"/>
      <c r="AVX2" s="525"/>
      <c r="AVY2" s="525"/>
      <c r="AVZ2" s="525"/>
      <c r="AWA2" s="525"/>
      <c r="AWB2" s="525"/>
      <c r="AWC2" s="525"/>
      <c r="AWD2" s="525"/>
      <c r="AWE2" s="525"/>
      <c r="AWF2" s="525"/>
      <c r="AWG2" s="525"/>
      <c r="AWH2" s="525"/>
      <c r="AWI2" s="525"/>
      <c r="AWJ2" s="525"/>
      <c r="AWK2" s="525"/>
      <c r="AWL2" s="525"/>
      <c r="AWM2" s="525"/>
      <c r="AWN2" s="525"/>
      <c r="AWO2" s="525"/>
      <c r="AWP2" s="525"/>
      <c r="AWQ2" s="525"/>
      <c r="AWR2" s="525"/>
      <c r="AWS2" s="525"/>
      <c r="AWT2" s="525"/>
      <c r="AWU2" s="525"/>
      <c r="AWV2" s="525"/>
      <c r="AWW2" s="525"/>
      <c r="AWX2" s="525"/>
      <c r="AWY2" s="525"/>
      <c r="AWZ2" s="525"/>
      <c r="AXA2" s="525"/>
      <c r="AXB2" s="525"/>
      <c r="AXC2" s="525"/>
      <c r="AXD2" s="525"/>
      <c r="AXE2" s="525"/>
      <c r="AXF2" s="525"/>
      <c r="AXG2" s="525"/>
      <c r="AXH2" s="525"/>
      <c r="AXI2" s="525"/>
      <c r="AXJ2" s="525"/>
      <c r="AXK2" s="525"/>
      <c r="AXL2" s="525"/>
      <c r="AXM2" s="525"/>
      <c r="AXN2" s="525"/>
      <c r="AXO2" s="525"/>
      <c r="AXP2" s="525"/>
      <c r="AXQ2" s="525"/>
      <c r="AXR2" s="525"/>
      <c r="AXS2" s="525"/>
      <c r="AXT2" s="525"/>
      <c r="AXU2" s="525"/>
      <c r="AXV2" s="525"/>
      <c r="AXW2" s="525"/>
      <c r="AXX2" s="525"/>
      <c r="AXY2" s="525"/>
      <c r="AXZ2" s="525"/>
      <c r="AYA2" s="525"/>
      <c r="AYB2" s="525"/>
      <c r="AYC2" s="525"/>
      <c r="AYD2" s="525"/>
      <c r="AYE2" s="525"/>
      <c r="AYF2" s="525"/>
      <c r="AYG2" s="525"/>
      <c r="AYH2" s="525"/>
      <c r="AYI2" s="525"/>
      <c r="AYJ2" s="525"/>
      <c r="AYK2" s="525"/>
      <c r="AYL2" s="525"/>
      <c r="AYM2" s="525"/>
      <c r="AYN2" s="525"/>
      <c r="AYO2" s="525"/>
      <c r="AYP2" s="525"/>
      <c r="AYQ2" s="525"/>
      <c r="AYR2" s="525"/>
      <c r="AYS2" s="525"/>
      <c r="AYT2" s="525"/>
      <c r="AYU2" s="525"/>
      <c r="AYV2" s="525"/>
      <c r="AYW2" s="525"/>
      <c r="AYX2" s="525"/>
      <c r="AYY2" s="525"/>
      <c r="AYZ2" s="525"/>
      <c r="AZA2" s="525"/>
      <c r="AZB2" s="525"/>
      <c r="AZC2" s="525"/>
      <c r="AZD2" s="525"/>
      <c r="AZE2" s="525"/>
      <c r="AZF2" s="525"/>
      <c r="AZG2" s="525"/>
      <c r="AZH2" s="525"/>
      <c r="AZI2" s="525"/>
      <c r="AZJ2" s="525"/>
      <c r="AZK2" s="525"/>
      <c r="AZL2" s="525"/>
      <c r="AZM2" s="525"/>
      <c r="AZN2" s="525"/>
      <c r="AZO2" s="525"/>
      <c r="AZP2" s="525"/>
      <c r="AZQ2" s="525"/>
      <c r="AZR2" s="525"/>
      <c r="AZS2" s="525"/>
      <c r="AZT2" s="525"/>
      <c r="AZU2" s="525"/>
      <c r="AZV2" s="525"/>
      <c r="AZW2" s="525"/>
      <c r="AZX2" s="525"/>
      <c r="AZY2" s="525"/>
      <c r="AZZ2" s="525"/>
      <c r="BAA2" s="525"/>
      <c r="BAB2" s="525"/>
      <c r="BAC2" s="525"/>
      <c r="BAD2" s="525"/>
      <c r="BAE2" s="525"/>
      <c r="BAF2" s="525"/>
      <c r="BAG2" s="525"/>
      <c r="BAH2" s="525"/>
      <c r="BAI2" s="525"/>
      <c r="BAJ2" s="525"/>
      <c r="BAK2" s="525"/>
      <c r="BAL2" s="525"/>
      <c r="BAM2" s="525"/>
      <c r="BAN2" s="525"/>
      <c r="BAO2" s="525"/>
      <c r="BAP2" s="525"/>
      <c r="BAQ2" s="525"/>
      <c r="BAR2" s="525"/>
      <c r="BAS2" s="525"/>
      <c r="BAT2" s="525"/>
      <c r="BAU2" s="525"/>
      <c r="BAV2" s="525"/>
      <c r="BAW2" s="525"/>
      <c r="BAX2" s="525"/>
      <c r="BAY2" s="525"/>
      <c r="BAZ2" s="525"/>
      <c r="BBA2" s="525"/>
      <c r="BBB2" s="525"/>
      <c r="BBC2" s="525"/>
      <c r="BBD2" s="525"/>
      <c r="BBE2" s="525"/>
      <c r="BBF2" s="525"/>
      <c r="BBG2" s="525"/>
      <c r="BBH2" s="525"/>
      <c r="BBI2" s="525"/>
      <c r="BBJ2" s="525"/>
      <c r="BBK2" s="525"/>
      <c r="BBL2" s="525"/>
      <c r="BBM2" s="525"/>
      <c r="BBN2" s="525"/>
      <c r="BBO2" s="525"/>
      <c r="BBP2" s="525"/>
      <c r="BBQ2" s="525"/>
      <c r="BBR2" s="525"/>
      <c r="BBS2" s="525"/>
      <c r="BBT2" s="525"/>
      <c r="BBU2" s="525"/>
      <c r="BBV2" s="525"/>
      <c r="BBW2" s="525"/>
      <c r="BBX2" s="525"/>
      <c r="BBY2" s="525"/>
      <c r="BBZ2" s="525"/>
      <c r="BCA2" s="525"/>
      <c r="BCB2" s="525"/>
      <c r="BCC2" s="525"/>
      <c r="BCD2" s="525"/>
      <c r="BCE2" s="525"/>
      <c r="BCF2" s="525"/>
      <c r="BCG2" s="525"/>
      <c r="BCH2" s="525"/>
      <c r="BCI2" s="525"/>
      <c r="BCJ2" s="525"/>
      <c r="BCK2" s="525"/>
      <c r="BCL2" s="525"/>
      <c r="BCM2" s="525"/>
      <c r="BCN2" s="525"/>
      <c r="BCO2" s="525"/>
      <c r="BCP2" s="525"/>
      <c r="BCQ2" s="525"/>
      <c r="BCR2" s="525"/>
      <c r="BCS2" s="525"/>
      <c r="BCT2" s="525"/>
      <c r="BCU2" s="525"/>
      <c r="BCV2" s="525"/>
      <c r="BCW2" s="525"/>
      <c r="BCX2" s="525"/>
      <c r="BCY2" s="525"/>
      <c r="BCZ2" s="525"/>
      <c r="BDA2" s="525"/>
      <c r="BDB2" s="525"/>
      <c r="BDC2" s="525"/>
      <c r="BDD2" s="525"/>
      <c r="BDE2" s="525"/>
      <c r="BDF2" s="525"/>
      <c r="BDG2" s="525"/>
      <c r="BDH2" s="525"/>
      <c r="BDI2" s="525"/>
      <c r="BDJ2" s="525"/>
      <c r="BDK2" s="525"/>
      <c r="BDL2" s="525"/>
      <c r="BDM2" s="525"/>
      <c r="BDN2" s="525"/>
      <c r="BDO2" s="525"/>
      <c r="BDP2" s="525"/>
      <c r="BDQ2" s="525"/>
      <c r="BDR2" s="525"/>
      <c r="BDS2" s="525"/>
      <c r="BDT2" s="525"/>
      <c r="BDU2" s="525"/>
      <c r="BDV2" s="525"/>
      <c r="BDW2" s="525"/>
      <c r="BDX2" s="525"/>
      <c r="BDY2" s="525"/>
      <c r="BDZ2" s="525"/>
      <c r="BEA2" s="525"/>
      <c r="BEB2" s="525"/>
      <c r="BEC2" s="525"/>
      <c r="BED2" s="525"/>
      <c r="BEE2" s="525"/>
      <c r="BEF2" s="525"/>
      <c r="BEG2" s="525"/>
      <c r="BEH2" s="525"/>
      <c r="BEI2" s="525"/>
      <c r="BEJ2" s="525"/>
      <c r="BEK2" s="525"/>
      <c r="BEL2" s="525"/>
      <c r="BEM2" s="525"/>
      <c r="BEN2" s="525"/>
      <c r="BEO2" s="525"/>
      <c r="BEP2" s="525"/>
      <c r="BEQ2" s="525"/>
      <c r="BER2" s="525"/>
      <c r="BES2" s="525"/>
      <c r="BET2" s="525"/>
      <c r="BEU2" s="525"/>
      <c r="BEV2" s="525"/>
      <c r="BEW2" s="525"/>
      <c r="BEX2" s="525"/>
      <c r="BEY2" s="525"/>
      <c r="BEZ2" s="525"/>
      <c r="BFA2" s="525"/>
      <c r="BFB2" s="525"/>
      <c r="BFC2" s="525"/>
      <c r="BFD2" s="525"/>
      <c r="BFE2" s="525"/>
      <c r="BFF2" s="525"/>
      <c r="BFG2" s="525"/>
      <c r="BFH2" s="525"/>
      <c r="BFI2" s="525"/>
      <c r="BFJ2" s="525"/>
      <c r="BFK2" s="525"/>
      <c r="BFL2" s="525"/>
      <c r="BFM2" s="525"/>
      <c r="BFN2" s="525"/>
      <c r="BFO2" s="525"/>
      <c r="BFP2" s="525"/>
      <c r="BFQ2" s="525"/>
      <c r="BFR2" s="525"/>
      <c r="BFS2" s="525"/>
      <c r="BFT2" s="525"/>
      <c r="BFU2" s="525"/>
      <c r="BFV2" s="525"/>
      <c r="BFW2" s="525"/>
      <c r="BFX2" s="525"/>
      <c r="BFY2" s="525"/>
      <c r="BFZ2" s="525"/>
      <c r="BGA2" s="525"/>
      <c r="BGB2" s="525"/>
      <c r="BGC2" s="525"/>
      <c r="BGD2" s="525"/>
      <c r="BGE2" s="525"/>
      <c r="BGF2" s="525"/>
      <c r="BGG2" s="525"/>
      <c r="BGH2" s="525"/>
      <c r="BGI2" s="525"/>
      <c r="BGJ2" s="525"/>
      <c r="BGK2" s="525"/>
      <c r="BGL2" s="525"/>
      <c r="BGM2" s="525"/>
      <c r="BGN2" s="525"/>
      <c r="BGO2" s="525"/>
      <c r="BGP2" s="525"/>
      <c r="BGQ2" s="525"/>
      <c r="BGR2" s="525"/>
      <c r="BGS2" s="525"/>
      <c r="BGT2" s="525"/>
      <c r="BGU2" s="525"/>
      <c r="BGV2" s="525"/>
      <c r="BGW2" s="525"/>
      <c r="BGX2" s="525"/>
      <c r="BGY2" s="525"/>
      <c r="BGZ2" s="525"/>
      <c r="BHA2" s="525"/>
      <c r="BHB2" s="525"/>
      <c r="BHC2" s="525"/>
      <c r="BHD2" s="525"/>
      <c r="BHE2" s="525"/>
      <c r="BHF2" s="525"/>
      <c r="BHG2" s="525"/>
      <c r="BHH2" s="525"/>
      <c r="BHI2" s="525"/>
      <c r="BHJ2" s="525"/>
      <c r="BHK2" s="525"/>
      <c r="BHL2" s="525"/>
      <c r="BHM2" s="525"/>
      <c r="BHN2" s="525"/>
      <c r="BHO2" s="525"/>
      <c r="BHP2" s="525"/>
      <c r="BHQ2" s="525"/>
      <c r="BHR2" s="525"/>
      <c r="BHS2" s="525"/>
      <c r="BHT2" s="525"/>
      <c r="BHU2" s="525"/>
      <c r="BHV2" s="525"/>
      <c r="BHW2" s="525"/>
      <c r="BHX2" s="525"/>
      <c r="BHY2" s="525"/>
      <c r="BHZ2" s="525"/>
      <c r="BIA2" s="525"/>
      <c r="BIB2" s="525"/>
      <c r="BIC2" s="525"/>
      <c r="BID2" s="525"/>
      <c r="BIE2" s="525"/>
      <c r="BIF2" s="525"/>
      <c r="BIG2" s="525"/>
      <c r="BIH2" s="525"/>
      <c r="BII2" s="525"/>
      <c r="BIJ2" s="525"/>
      <c r="BIK2" s="525"/>
      <c r="BIL2" s="525"/>
      <c r="BIM2" s="525"/>
      <c r="BIN2" s="525"/>
      <c r="BIO2" s="525"/>
      <c r="BIP2" s="525"/>
      <c r="BIQ2" s="525"/>
      <c r="BIR2" s="525"/>
      <c r="BIS2" s="525"/>
      <c r="BIT2" s="525"/>
      <c r="BIU2" s="525"/>
      <c r="BIV2" s="525"/>
      <c r="BIW2" s="525"/>
      <c r="BIX2" s="525"/>
      <c r="BIY2" s="525"/>
      <c r="BIZ2" s="525"/>
      <c r="BJA2" s="525"/>
      <c r="BJB2" s="525"/>
      <c r="BJC2" s="525"/>
      <c r="BJD2" s="525"/>
      <c r="BJE2" s="525"/>
      <c r="BJF2" s="525"/>
      <c r="BJG2" s="525"/>
      <c r="BJH2" s="525"/>
      <c r="BJI2" s="525"/>
      <c r="BJJ2" s="525"/>
      <c r="BJK2" s="525"/>
      <c r="BJL2" s="525"/>
      <c r="BJM2" s="525"/>
      <c r="BJN2" s="525"/>
      <c r="BJO2" s="525"/>
      <c r="BJP2" s="525"/>
      <c r="BJQ2" s="525"/>
      <c r="BJR2" s="525"/>
      <c r="BJS2" s="525"/>
      <c r="BJT2" s="525"/>
      <c r="BJU2" s="525"/>
      <c r="BJV2" s="525"/>
      <c r="BJW2" s="525"/>
      <c r="BJX2" s="525"/>
      <c r="BJY2" s="525"/>
      <c r="BJZ2" s="525"/>
      <c r="BKA2" s="525"/>
      <c r="BKB2" s="525"/>
      <c r="BKC2" s="525"/>
      <c r="BKD2" s="525"/>
      <c r="BKE2" s="525"/>
      <c r="BKF2" s="525"/>
      <c r="BKG2" s="525"/>
      <c r="BKH2" s="525"/>
      <c r="BKI2" s="525"/>
      <c r="BKJ2" s="525"/>
      <c r="BKK2" s="525"/>
      <c r="BKL2" s="525"/>
      <c r="BKM2" s="525"/>
      <c r="BKN2" s="525"/>
      <c r="BKO2" s="525"/>
      <c r="BKP2" s="525"/>
      <c r="BKQ2" s="525"/>
      <c r="BKR2" s="525"/>
      <c r="BKS2" s="525"/>
      <c r="BKT2" s="525"/>
      <c r="BKU2" s="525"/>
      <c r="BKV2" s="525"/>
      <c r="BKW2" s="525"/>
      <c r="BKX2" s="525"/>
      <c r="BKY2" s="525"/>
      <c r="BKZ2" s="525"/>
      <c r="BLA2" s="525"/>
      <c r="BLB2" s="525"/>
      <c r="BLC2" s="525"/>
      <c r="BLD2" s="525"/>
      <c r="BLE2" s="525"/>
      <c r="BLF2" s="525"/>
      <c r="BLG2" s="525"/>
      <c r="BLH2" s="525"/>
      <c r="BLI2" s="525"/>
      <c r="BLJ2" s="525"/>
      <c r="BLK2" s="525"/>
      <c r="BLL2" s="525"/>
      <c r="BLM2" s="525"/>
      <c r="BLN2" s="525"/>
      <c r="BLO2" s="525"/>
      <c r="BLP2" s="525"/>
      <c r="BLQ2" s="525"/>
      <c r="BLR2" s="525"/>
      <c r="BLS2" s="525"/>
      <c r="BLT2" s="525"/>
      <c r="BLU2" s="525"/>
      <c r="BLV2" s="525"/>
      <c r="BLW2" s="525"/>
      <c r="BLX2" s="525"/>
      <c r="BLY2" s="525"/>
      <c r="BLZ2" s="525"/>
      <c r="BMA2" s="525"/>
      <c r="BMB2" s="525"/>
      <c r="BMC2" s="525"/>
      <c r="BMD2" s="525"/>
      <c r="BME2" s="525"/>
      <c r="BMF2" s="525"/>
      <c r="BMG2" s="525"/>
      <c r="BMH2" s="525"/>
      <c r="BMI2" s="525"/>
      <c r="BMJ2" s="525"/>
      <c r="BMK2" s="525"/>
      <c r="BML2" s="525"/>
      <c r="BMM2" s="525"/>
      <c r="BMN2" s="525"/>
      <c r="BMO2" s="525"/>
      <c r="BMP2" s="525"/>
      <c r="BMQ2" s="525"/>
      <c r="BMR2" s="525"/>
      <c r="BMS2" s="525"/>
      <c r="BMT2" s="525"/>
      <c r="BMU2" s="525"/>
      <c r="BMV2" s="525"/>
      <c r="BMW2" s="525"/>
      <c r="BMX2" s="525"/>
      <c r="BMY2" s="525"/>
      <c r="BMZ2" s="525"/>
      <c r="BNA2" s="525"/>
      <c r="BNB2" s="525"/>
      <c r="BNC2" s="525"/>
      <c r="BND2" s="525"/>
      <c r="BNE2" s="525"/>
      <c r="BNF2" s="525"/>
      <c r="BNG2" s="525"/>
      <c r="BNH2" s="525"/>
      <c r="BNI2" s="525"/>
      <c r="BNJ2" s="525"/>
      <c r="BNK2" s="525"/>
      <c r="BNL2" s="525"/>
      <c r="BNM2" s="525"/>
      <c r="BNN2" s="525"/>
      <c r="BNO2" s="525"/>
      <c r="BNP2" s="525"/>
      <c r="BNQ2" s="525"/>
      <c r="BNR2" s="525"/>
      <c r="BNS2" s="525"/>
      <c r="BNT2" s="525"/>
      <c r="BNU2" s="525"/>
      <c r="BNV2" s="525"/>
      <c r="BNW2" s="525"/>
      <c r="BNX2" s="525"/>
      <c r="BNY2" s="525"/>
      <c r="BNZ2" s="525"/>
      <c r="BOA2" s="525"/>
      <c r="BOB2" s="525"/>
      <c r="BOC2" s="525"/>
      <c r="BOD2" s="525"/>
      <c r="BOE2" s="525"/>
      <c r="BOF2" s="525"/>
      <c r="BOG2" s="525"/>
      <c r="BOH2" s="525"/>
      <c r="BOI2" s="525"/>
      <c r="BOJ2" s="525"/>
      <c r="BOK2" s="525"/>
      <c r="BOL2" s="525"/>
      <c r="BOM2" s="525"/>
      <c r="BON2" s="525"/>
      <c r="BOO2" s="525"/>
      <c r="BOP2" s="525"/>
      <c r="BOQ2" s="525"/>
      <c r="BOR2" s="525"/>
      <c r="BOS2" s="525"/>
      <c r="BOT2" s="525"/>
      <c r="BOU2" s="525"/>
      <c r="BOV2" s="525"/>
      <c r="BOW2" s="525"/>
      <c r="BOX2" s="525"/>
      <c r="BOY2" s="525"/>
      <c r="BOZ2" s="525"/>
      <c r="BPA2" s="525"/>
      <c r="BPB2" s="525"/>
      <c r="BPC2" s="525"/>
      <c r="BPD2" s="525"/>
      <c r="BPE2" s="525"/>
      <c r="BPF2" s="525"/>
      <c r="BPG2" s="525"/>
      <c r="BPH2" s="525"/>
      <c r="BPI2" s="525"/>
      <c r="BPJ2" s="525"/>
      <c r="BPK2" s="525"/>
      <c r="BPL2" s="525"/>
      <c r="BPM2" s="525"/>
      <c r="BPN2" s="525"/>
      <c r="BPO2" s="525"/>
      <c r="BPP2" s="525"/>
      <c r="BPQ2" s="525"/>
      <c r="BPR2" s="525"/>
      <c r="BPS2" s="525"/>
      <c r="BPT2" s="525"/>
      <c r="BPU2" s="525"/>
      <c r="BPV2" s="525"/>
      <c r="BPW2" s="525"/>
      <c r="BPX2" s="525"/>
      <c r="BPY2" s="525"/>
      <c r="BPZ2" s="525"/>
      <c r="BQA2" s="525"/>
      <c r="BQB2" s="525"/>
      <c r="BQC2" s="525"/>
      <c r="BQD2" s="525"/>
      <c r="BQE2" s="525"/>
      <c r="BQF2" s="525"/>
      <c r="BQG2" s="525"/>
      <c r="BQH2" s="525"/>
      <c r="BQI2" s="525"/>
      <c r="BQJ2" s="525"/>
      <c r="BQK2" s="525"/>
      <c r="BQL2" s="525"/>
      <c r="BQM2" s="525"/>
      <c r="BQN2" s="525"/>
      <c r="BQO2" s="525"/>
      <c r="BQP2" s="525"/>
      <c r="BQQ2" s="525"/>
      <c r="BQR2" s="525"/>
      <c r="BQS2" s="525"/>
      <c r="BQT2" s="525"/>
      <c r="BQU2" s="525"/>
      <c r="BQV2" s="525"/>
      <c r="BQW2" s="525"/>
      <c r="BQX2" s="525"/>
      <c r="BQY2" s="525"/>
      <c r="BQZ2" s="525"/>
      <c r="BRA2" s="525"/>
      <c r="BRB2" s="525"/>
      <c r="BRC2" s="525"/>
      <c r="BRD2" s="525"/>
      <c r="BRE2" s="525"/>
      <c r="BRF2" s="525"/>
      <c r="BRG2" s="525"/>
      <c r="BRH2" s="525"/>
      <c r="BRI2" s="525"/>
      <c r="BRJ2" s="525"/>
      <c r="BRK2" s="525"/>
      <c r="BRL2" s="525"/>
      <c r="BRM2" s="525"/>
      <c r="BRN2" s="525"/>
      <c r="BRO2" s="525"/>
      <c r="BRP2" s="525"/>
      <c r="BRQ2" s="525"/>
      <c r="BRR2" s="525"/>
      <c r="BRS2" s="525"/>
      <c r="BRT2" s="525"/>
      <c r="BRU2" s="525"/>
      <c r="BRV2" s="525"/>
      <c r="BRW2" s="525"/>
      <c r="BRX2" s="525"/>
      <c r="BRY2" s="525"/>
      <c r="BRZ2" s="525"/>
      <c r="BSA2" s="525"/>
      <c r="BSB2" s="525"/>
      <c r="BSC2" s="525"/>
      <c r="BSD2" s="525"/>
      <c r="BSE2" s="525"/>
      <c r="BSF2" s="525"/>
      <c r="BSG2" s="525"/>
      <c r="BSH2" s="525"/>
      <c r="BSI2" s="525"/>
      <c r="BSJ2" s="525"/>
      <c r="BSK2" s="525"/>
      <c r="BSL2" s="525"/>
      <c r="BSM2" s="525"/>
      <c r="BSN2" s="525"/>
      <c r="BSO2" s="525"/>
      <c r="BSP2" s="525"/>
      <c r="BSQ2" s="525"/>
      <c r="BSR2" s="525"/>
      <c r="BSS2" s="525"/>
      <c r="BST2" s="525"/>
      <c r="BSU2" s="525"/>
      <c r="BSV2" s="525"/>
      <c r="BSW2" s="525"/>
      <c r="BSX2" s="525"/>
      <c r="BSY2" s="525"/>
      <c r="BSZ2" s="525"/>
      <c r="BTA2" s="525"/>
      <c r="BTB2" s="525"/>
      <c r="BTC2" s="525"/>
      <c r="BTD2" s="525"/>
      <c r="BTE2" s="525"/>
      <c r="BTF2" s="525"/>
      <c r="BTG2" s="525"/>
      <c r="BTH2" s="525"/>
      <c r="BTI2" s="525"/>
      <c r="BTJ2" s="525"/>
      <c r="BTK2" s="525"/>
      <c r="BTL2" s="525"/>
      <c r="BTM2" s="525"/>
      <c r="BTN2" s="525"/>
      <c r="BTO2" s="525"/>
      <c r="BTP2" s="525"/>
      <c r="BTQ2" s="525"/>
      <c r="BTR2" s="525"/>
      <c r="BTS2" s="525"/>
      <c r="BTT2" s="525"/>
      <c r="BTU2" s="525"/>
      <c r="BTV2" s="525"/>
      <c r="BTW2" s="525"/>
      <c r="BTX2" s="525"/>
      <c r="BTY2" s="525"/>
      <c r="BTZ2" s="525"/>
      <c r="BUA2" s="525"/>
      <c r="BUB2" s="525"/>
      <c r="BUC2" s="525"/>
      <c r="BUD2" s="525"/>
      <c r="BUE2" s="525"/>
      <c r="BUF2" s="525"/>
      <c r="BUG2" s="525"/>
      <c r="BUH2" s="525"/>
      <c r="BUI2" s="525"/>
      <c r="BUJ2" s="525"/>
      <c r="BUK2" s="525"/>
      <c r="BUL2" s="525"/>
      <c r="BUM2" s="525"/>
      <c r="BUN2" s="525"/>
      <c r="BUO2" s="525"/>
      <c r="BUP2" s="525"/>
      <c r="BUQ2" s="525"/>
      <c r="BUR2" s="525"/>
      <c r="BUS2" s="525"/>
      <c r="BUT2" s="525"/>
      <c r="BUU2" s="525"/>
      <c r="BUV2" s="525"/>
      <c r="BUW2" s="525"/>
      <c r="BUX2" s="525"/>
      <c r="BUY2" s="525"/>
      <c r="BUZ2" s="525"/>
      <c r="BVA2" s="525"/>
      <c r="BVB2" s="525"/>
      <c r="BVC2" s="525"/>
      <c r="BVD2" s="525"/>
      <c r="BVE2" s="525"/>
      <c r="BVF2" s="525"/>
      <c r="BVG2" s="525"/>
      <c r="BVH2" s="525"/>
      <c r="BVI2" s="525"/>
      <c r="BVJ2" s="525"/>
      <c r="BVK2" s="525"/>
      <c r="BVL2" s="525"/>
      <c r="BVM2" s="525"/>
      <c r="BVN2" s="525"/>
      <c r="BVO2" s="525"/>
      <c r="BVP2" s="525"/>
      <c r="BVQ2" s="525"/>
      <c r="BVR2" s="525"/>
      <c r="BVS2" s="525"/>
      <c r="BVT2" s="525"/>
      <c r="BVU2" s="525"/>
      <c r="BVV2" s="525"/>
      <c r="BVW2" s="525"/>
      <c r="BVX2" s="525"/>
      <c r="BVY2" s="525"/>
      <c r="BVZ2" s="525"/>
      <c r="BWA2" s="525"/>
      <c r="BWB2" s="525"/>
      <c r="BWC2" s="525"/>
      <c r="BWD2" s="525"/>
      <c r="BWE2" s="525"/>
      <c r="BWF2" s="525"/>
      <c r="BWG2" s="525"/>
      <c r="BWH2" s="525"/>
      <c r="BWI2" s="525"/>
      <c r="BWJ2" s="525"/>
      <c r="BWK2" s="525"/>
      <c r="BWL2" s="525"/>
      <c r="BWM2" s="525"/>
      <c r="BWN2" s="525"/>
      <c r="BWO2" s="525"/>
      <c r="BWP2" s="525"/>
      <c r="BWQ2" s="525"/>
      <c r="BWR2" s="525"/>
      <c r="BWS2" s="525"/>
      <c r="BWT2" s="525"/>
      <c r="BWU2" s="525"/>
      <c r="BWV2" s="525"/>
      <c r="BWW2" s="525"/>
      <c r="BWX2" s="525"/>
      <c r="BWY2" s="525"/>
      <c r="BWZ2" s="525"/>
      <c r="BXA2" s="525"/>
      <c r="BXB2" s="525"/>
      <c r="BXC2" s="525"/>
      <c r="BXD2" s="525"/>
      <c r="BXE2" s="525"/>
      <c r="BXF2" s="525"/>
      <c r="BXG2" s="525"/>
      <c r="BXH2" s="525"/>
      <c r="BXI2" s="525"/>
      <c r="BXJ2" s="525"/>
      <c r="BXK2" s="525"/>
      <c r="BXL2" s="525"/>
      <c r="BXM2" s="525"/>
      <c r="BXN2" s="525"/>
      <c r="BXO2" s="525"/>
      <c r="BXP2" s="525"/>
      <c r="BXQ2" s="525"/>
      <c r="BXR2" s="525"/>
      <c r="BXS2" s="525"/>
      <c r="BXT2" s="525"/>
      <c r="BXU2" s="525"/>
      <c r="BXV2" s="525"/>
      <c r="BXW2" s="525"/>
      <c r="BXX2" s="525"/>
      <c r="BXY2" s="525"/>
      <c r="BXZ2" s="525"/>
      <c r="BYA2" s="525"/>
      <c r="BYB2" s="525"/>
      <c r="BYC2" s="525"/>
      <c r="BYD2" s="525"/>
      <c r="BYE2" s="525"/>
      <c r="BYF2" s="525"/>
      <c r="BYG2" s="525"/>
      <c r="BYH2" s="525"/>
      <c r="BYI2" s="525"/>
      <c r="BYJ2" s="525"/>
      <c r="BYK2" s="525"/>
      <c r="BYL2" s="525"/>
      <c r="BYM2" s="525"/>
      <c r="BYN2" s="525"/>
      <c r="BYO2" s="525"/>
      <c r="BYP2" s="525"/>
      <c r="BYQ2" s="525"/>
      <c r="BYR2" s="525"/>
      <c r="BYS2" s="525"/>
      <c r="BYT2" s="525"/>
      <c r="BYU2" s="525"/>
      <c r="BYV2" s="525"/>
      <c r="BYW2" s="525"/>
      <c r="BYX2" s="525"/>
      <c r="BYY2" s="525"/>
      <c r="BYZ2" s="525"/>
      <c r="BZA2" s="525"/>
      <c r="BZB2" s="525"/>
      <c r="BZC2" s="525"/>
      <c r="BZD2" s="525"/>
      <c r="BZE2" s="525"/>
      <c r="BZF2" s="525"/>
      <c r="BZG2" s="525"/>
      <c r="BZH2" s="525"/>
      <c r="BZI2" s="525"/>
      <c r="BZJ2" s="525"/>
      <c r="BZK2" s="525"/>
      <c r="BZL2" s="525"/>
      <c r="BZM2" s="525"/>
      <c r="BZN2" s="525"/>
      <c r="BZO2" s="525"/>
      <c r="BZP2" s="525"/>
      <c r="BZQ2" s="525"/>
      <c r="BZR2" s="525"/>
      <c r="BZS2" s="525"/>
      <c r="BZT2" s="525"/>
      <c r="BZU2" s="525"/>
      <c r="BZV2" s="525"/>
      <c r="BZW2" s="525"/>
      <c r="BZX2" s="525"/>
      <c r="BZY2" s="525"/>
      <c r="BZZ2" s="525"/>
      <c r="CAA2" s="525"/>
      <c r="CAB2" s="525"/>
      <c r="CAC2" s="525"/>
      <c r="CAD2" s="525"/>
      <c r="CAE2" s="525"/>
      <c r="CAF2" s="525"/>
      <c r="CAG2" s="525"/>
      <c r="CAH2" s="525"/>
      <c r="CAI2" s="525"/>
      <c r="CAJ2" s="525"/>
      <c r="CAK2" s="525"/>
      <c r="CAL2" s="525"/>
      <c r="CAM2" s="525"/>
      <c r="CAN2" s="525"/>
      <c r="CAO2" s="525"/>
      <c r="CAP2" s="525"/>
      <c r="CAQ2" s="525"/>
      <c r="CAR2" s="525"/>
      <c r="CAS2" s="525"/>
      <c r="CAT2" s="525"/>
      <c r="CAU2" s="525"/>
      <c r="CAV2" s="525"/>
      <c r="CAW2" s="525"/>
      <c r="CAX2" s="525"/>
      <c r="CAY2" s="525"/>
      <c r="CAZ2" s="525"/>
      <c r="CBA2" s="525"/>
      <c r="CBB2" s="525"/>
      <c r="CBC2" s="525"/>
      <c r="CBD2" s="525"/>
      <c r="CBE2" s="525"/>
      <c r="CBF2" s="525"/>
      <c r="CBG2" s="525"/>
      <c r="CBH2" s="525"/>
      <c r="CBI2" s="525"/>
      <c r="CBJ2" s="525"/>
      <c r="CBK2" s="525"/>
      <c r="CBL2" s="525"/>
      <c r="CBM2" s="525"/>
      <c r="CBN2" s="525"/>
      <c r="CBO2" s="525"/>
      <c r="CBP2" s="525"/>
      <c r="CBQ2" s="525"/>
      <c r="CBR2" s="525"/>
      <c r="CBS2" s="525"/>
      <c r="CBT2" s="525"/>
      <c r="CBU2" s="525"/>
      <c r="CBV2" s="525"/>
      <c r="CBW2" s="525"/>
      <c r="CBX2" s="525"/>
      <c r="CBY2" s="525"/>
      <c r="CBZ2" s="525"/>
      <c r="CCA2" s="525"/>
      <c r="CCB2" s="525"/>
      <c r="CCC2" s="525"/>
      <c r="CCD2" s="525"/>
      <c r="CCE2" s="525"/>
      <c r="CCF2" s="525"/>
      <c r="CCG2" s="525"/>
      <c r="CCH2" s="525"/>
      <c r="CCI2" s="525"/>
      <c r="CCJ2" s="525"/>
      <c r="CCK2" s="525"/>
      <c r="CCL2" s="525"/>
      <c r="CCM2" s="525"/>
      <c r="CCN2" s="525"/>
      <c r="CCO2" s="525"/>
      <c r="CCP2" s="525"/>
      <c r="CCQ2" s="525"/>
      <c r="CCR2" s="525"/>
      <c r="CCS2" s="525"/>
      <c r="CCT2" s="525"/>
      <c r="CCU2" s="525"/>
      <c r="CCV2" s="525"/>
      <c r="CCW2" s="525"/>
      <c r="CCX2" s="525"/>
      <c r="CCY2" s="525"/>
      <c r="CCZ2" s="525"/>
      <c r="CDA2" s="525"/>
      <c r="CDB2" s="525"/>
      <c r="CDC2" s="525"/>
      <c r="CDD2" s="525"/>
      <c r="CDE2" s="525"/>
      <c r="CDF2" s="525"/>
      <c r="CDG2" s="525"/>
      <c r="CDH2" s="525"/>
      <c r="CDI2" s="525"/>
      <c r="CDJ2" s="525"/>
      <c r="CDK2" s="525"/>
      <c r="CDL2" s="525"/>
      <c r="CDM2" s="525"/>
      <c r="CDN2" s="525"/>
      <c r="CDO2" s="525"/>
      <c r="CDP2" s="525"/>
      <c r="CDQ2" s="525"/>
      <c r="CDR2" s="525"/>
      <c r="CDS2" s="525"/>
      <c r="CDT2" s="525"/>
      <c r="CDU2" s="525"/>
      <c r="CDV2" s="525"/>
      <c r="CDW2" s="525"/>
      <c r="CDX2" s="525"/>
      <c r="CDY2" s="525"/>
      <c r="CDZ2" s="525"/>
      <c r="CEA2" s="525"/>
      <c r="CEB2" s="525"/>
      <c r="CEC2" s="525"/>
      <c r="CED2" s="525"/>
      <c r="CEE2" s="525"/>
      <c r="CEF2" s="525"/>
      <c r="CEG2" s="525"/>
      <c r="CEH2" s="525"/>
      <c r="CEI2" s="525"/>
      <c r="CEJ2" s="525"/>
      <c r="CEK2" s="525"/>
      <c r="CEL2" s="525"/>
      <c r="CEM2" s="525"/>
      <c r="CEN2" s="525"/>
      <c r="CEO2" s="525"/>
      <c r="CEP2" s="525"/>
      <c r="CEQ2" s="525"/>
      <c r="CER2" s="525"/>
      <c r="CES2" s="525"/>
      <c r="CET2" s="525"/>
      <c r="CEU2" s="525"/>
      <c r="CEV2" s="525"/>
      <c r="CEW2" s="525"/>
      <c r="CEX2" s="525"/>
      <c r="CEY2" s="525"/>
      <c r="CEZ2" s="525"/>
      <c r="CFA2" s="525"/>
      <c r="CFB2" s="525"/>
      <c r="CFC2" s="525"/>
      <c r="CFD2" s="525"/>
      <c r="CFE2" s="525"/>
      <c r="CFF2" s="525"/>
      <c r="CFG2" s="525"/>
      <c r="CFH2" s="525"/>
      <c r="CFI2" s="525"/>
      <c r="CFJ2" s="525"/>
      <c r="CFK2" s="525"/>
      <c r="CFL2" s="525"/>
      <c r="CFM2" s="525"/>
      <c r="CFN2" s="525"/>
      <c r="CFO2" s="525"/>
      <c r="CFP2" s="525"/>
      <c r="CFQ2" s="525"/>
      <c r="CFR2" s="525"/>
      <c r="CFS2" s="525"/>
      <c r="CFT2" s="525"/>
      <c r="CFU2" s="525"/>
      <c r="CFV2" s="525"/>
      <c r="CFW2" s="525"/>
      <c r="CFX2" s="525"/>
      <c r="CFY2" s="525"/>
      <c r="CFZ2" s="525"/>
      <c r="CGA2" s="525"/>
      <c r="CGB2" s="525"/>
      <c r="CGC2" s="525"/>
      <c r="CGD2" s="525"/>
      <c r="CGE2" s="525"/>
      <c r="CGF2" s="525"/>
      <c r="CGG2" s="525"/>
      <c r="CGH2" s="525"/>
      <c r="CGI2" s="525"/>
      <c r="CGJ2" s="525"/>
      <c r="CGK2" s="525"/>
      <c r="CGL2" s="525"/>
      <c r="CGM2" s="525"/>
      <c r="CGN2" s="525"/>
      <c r="CGO2" s="525"/>
      <c r="CGP2" s="525"/>
      <c r="CGQ2" s="525"/>
      <c r="CGR2" s="525"/>
      <c r="CGS2" s="525"/>
      <c r="CGT2" s="525"/>
      <c r="CGU2" s="525"/>
      <c r="CGV2" s="525"/>
      <c r="CGW2" s="525"/>
      <c r="CGX2" s="525"/>
      <c r="CGY2" s="525"/>
      <c r="CGZ2" s="525"/>
      <c r="CHA2" s="525"/>
      <c r="CHB2" s="525"/>
      <c r="CHC2" s="525"/>
      <c r="CHD2" s="525"/>
      <c r="CHE2" s="525"/>
      <c r="CHF2" s="525"/>
      <c r="CHG2" s="525"/>
      <c r="CHH2" s="525"/>
      <c r="CHI2" s="525"/>
      <c r="CHJ2" s="525"/>
      <c r="CHK2" s="525"/>
      <c r="CHL2" s="525"/>
      <c r="CHM2" s="525"/>
      <c r="CHN2" s="525"/>
      <c r="CHO2" s="525"/>
      <c r="CHP2" s="525"/>
      <c r="CHQ2" s="525"/>
      <c r="CHR2" s="525"/>
      <c r="CHS2" s="525"/>
      <c r="CHT2" s="525"/>
      <c r="CHU2" s="525"/>
      <c r="CHV2" s="525"/>
      <c r="CHW2" s="525"/>
      <c r="CHX2" s="525"/>
      <c r="CHY2" s="525"/>
      <c r="CHZ2" s="525"/>
      <c r="CIA2" s="525"/>
      <c r="CIB2" s="525"/>
      <c r="CIC2" s="525"/>
      <c r="CID2" s="525"/>
      <c r="CIE2" s="525"/>
      <c r="CIF2" s="525"/>
      <c r="CIG2" s="525"/>
      <c r="CIH2" s="525"/>
      <c r="CII2" s="525"/>
      <c r="CIJ2" s="525"/>
      <c r="CIK2" s="525"/>
      <c r="CIL2" s="525"/>
      <c r="CIM2" s="525"/>
      <c r="CIN2" s="525"/>
      <c r="CIO2" s="525"/>
      <c r="CIP2" s="525"/>
      <c r="CIQ2" s="525"/>
      <c r="CIR2" s="525"/>
      <c r="CIS2" s="525"/>
      <c r="CIT2" s="525"/>
      <c r="CIU2" s="525"/>
      <c r="CIV2" s="525"/>
      <c r="CIW2" s="525"/>
      <c r="CIX2" s="525"/>
      <c r="CIY2" s="525"/>
      <c r="CIZ2" s="525"/>
      <c r="CJA2" s="525"/>
      <c r="CJB2" s="525"/>
      <c r="CJC2" s="525"/>
      <c r="CJD2" s="525"/>
      <c r="CJE2" s="525"/>
      <c r="CJF2" s="525"/>
      <c r="CJG2" s="525"/>
      <c r="CJH2" s="525"/>
      <c r="CJI2" s="525"/>
      <c r="CJJ2" s="525"/>
      <c r="CJK2" s="525"/>
      <c r="CJL2" s="525"/>
      <c r="CJM2" s="525"/>
      <c r="CJN2" s="525"/>
      <c r="CJO2" s="525"/>
      <c r="CJP2" s="525"/>
      <c r="CJQ2" s="525"/>
      <c r="CJR2" s="525"/>
      <c r="CJS2" s="525"/>
      <c r="CJT2" s="525"/>
      <c r="CJU2" s="525"/>
      <c r="CJV2" s="525"/>
      <c r="CJW2" s="525"/>
      <c r="CJX2" s="525"/>
      <c r="CJY2" s="525"/>
      <c r="CJZ2" s="525"/>
      <c r="CKA2" s="525"/>
      <c r="CKB2" s="525"/>
      <c r="CKC2" s="525"/>
      <c r="CKD2" s="525"/>
      <c r="CKE2" s="525"/>
      <c r="CKF2" s="525"/>
      <c r="CKG2" s="525"/>
      <c r="CKH2" s="525"/>
      <c r="CKI2" s="525"/>
      <c r="CKJ2" s="525"/>
      <c r="CKK2" s="525"/>
      <c r="CKL2" s="525"/>
      <c r="CKM2" s="525"/>
      <c r="CKN2" s="525"/>
      <c r="CKO2" s="525"/>
      <c r="CKP2" s="525"/>
      <c r="CKQ2" s="525"/>
      <c r="CKR2" s="525"/>
      <c r="CKS2" s="525"/>
      <c r="CKT2" s="525"/>
      <c r="CKU2" s="525"/>
      <c r="CKV2" s="525"/>
      <c r="CKW2" s="525"/>
      <c r="CKX2" s="525"/>
      <c r="CKY2" s="525"/>
      <c r="CKZ2" s="525"/>
      <c r="CLA2" s="525"/>
      <c r="CLB2" s="525"/>
      <c r="CLC2" s="525"/>
      <c r="CLD2" s="525"/>
      <c r="CLE2" s="525"/>
      <c r="CLF2" s="525"/>
      <c r="CLG2" s="525"/>
      <c r="CLH2" s="525"/>
      <c r="CLI2" s="525"/>
      <c r="CLJ2" s="525"/>
      <c r="CLK2" s="525"/>
      <c r="CLL2" s="525"/>
      <c r="CLM2" s="525"/>
      <c r="CLN2" s="525"/>
      <c r="CLO2" s="525"/>
      <c r="CLP2" s="525"/>
      <c r="CLQ2" s="525"/>
      <c r="CLR2" s="525"/>
      <c r="CLS2" s="525"/>
      <c r="CLT2" s="525"/>
      <c r="CLU2" s="525"/>
      <c r="CLV2" s="525"/>
      <c r="CLW2" s="525"/>
      <c r="CLX2" s="525"/>
      <c r="CLY2" s="525"/>
      <c r="CLZ2" s="525"/>
      <c r="CMA2" s="525"/>
      <c r="CMB2" s="525"/>
      <c r="CMC2" s="525"/>
      <c r="CMD2" s="525"/>
      <c r="CME2" s="525"/>
      <c r="CMF2" s="525"/>
      <c r="CMG2" s="525"/>
      <c r="CMH2" s="525"/>
      <c r="CMI2" s="525"/>
      <c r="CMJ2" s="525"/>
      <c r="CMK2" s="525"/>
      <c r="CML2" s="525"/>
      <c r="CMM2" s="525"/>
      <c r="CMN2" s="525"/>
      <c r="CMO2" s="525"/>
      <c r="CMP2" s="525"/>
      <c r="CMQ2" s="525"/>
      <c r="CMR2" s="525"/>
      <c r="CMS2" s="525"/>
      <c r="CMT2" s="525"/>
      <c r="CMU2" s="525"/>
      <c r="CMV2" s="525"/>
      <c r="CMW2" s="525"/>
      <c r="CMX2" s="525"/>
      <c r="CMY2" s="525"/>
      <c r="CMZ2" s="525"/>
      <c r="CNA2" s="525"/>
      <c r="CNB2" s="525"/>
      <c r="CNC2" s="525"/>
      <c r="CND2" s="525"/>
      <c r="CNE2" s="525"/>
      <c r="CNF2" s="525"/>
      <c r="CNG2" s="525"/>
      <c r="CNH2" s="525"/>
      <c r="CNI2" s="525"/>
      <c r="CNJ2" s="525"/>
      <c r="CNK2" s="525"/>
      <c r="CNL2" s="525"/>
      <c r="CNM2" s="525"/>
      <c r="CNN2" s="525"/>
      <c r="CNO2" s="525"/>
      <c r="CNP2" s="525"/>
      <c r="CNQ2" s="525"/>
      <c r="CNR2" s="525"/>
      <c r="CNS2" s="525"/>
      <c r="CNT2" s="525"/>
      <c r="CNU2" s="525"/>
      <c r="CNV2" s="525"/>
      <c r="CNW2" s="525"/>
      <c r="CNX2" s="525"/>
      <c r="CNY2" s="525"/>
      <c r="CNZ2" s="525"/>
      <c r="COA2" s="525"/>
      <c r="COB2" s="525"/>
      <c r="COC2" s="525"/>
      <c r="COD2" s="525"/>
      <c r="COE2" s="525"/>
      <c r="COF2" s="525"/>
      <c r="COG2" s="525"/>
      <c r="COH2" s="525"/>
      <c r="COI2" s="525"/>
      <c r="COJ2" s="525"/>
      <c r="COK2" s="525"/>
      <c r="COL2" s="525"/>
      <c r="COM2" s="525"/>
      <c r="CON2" s="525"/>
      <c r="COO2" s="525"/>
      <c r="COP2" s="525"/>
      <c r="COQ2" s="525"/>
      <c r="COR2" s="525"/>
      <c r="COS2" s="525"/>
      <c r="COT2" s="525"/>
      <c r="COU2" s="525"/>
      <c r="COV2" s="525"/>
      <c r="COW2" s="525"/>
      <c r="COX2" s="525"/>
      <c r="COY2" s="525"/>
      <c r="COZ2" s="525"/>
      <c r="CPA2" s="525"/>
      <c r="CPB2" s="525"/>
      <c r="CPC2" s="525"/>
      <c r="CPD2" s="525"/>
      <c r="CPE2" s="525"/>
      <c r="CPF2" s="525"/>
      <c r="CPG2" s="525"/>
      <c r="CPH2" s="525"/>
      <c r="CPI2" s="525"/>
      <c r="CPJ2" s="525"/>
      <c r="CPK2" s="525"/>
      <c r="CPL2" s="525"/>
      <c r="CPM2" s="525"/>
      <c r="CPN2" s="525"/>
      <c r="CPO2" s="525"/>
      <c r="CPP2" s="525"/>
      <c r="CPQ2" s="525"/>
      <c r="CPR2" s="525"/>
      <c r="CPS2" s="525"/>
      <c r="CPT2" s="525"/>
      <c r="CPU2" s="525"/>
      <c r="CPV2" s="525"/>
      <c r="CPW2" s="525"/>
      <c r="CPX2" s="525"/>
      <c r="CPY2" s="525"/>
      <c r="CPZ2" s="525"/>
      <c r="CQA2" s="525"/>
      <c r="CQB2" s="525"/>
      <c r="CQC2" s="525"/>
      <c r="CQD2" s="525"/>
      <c r="CQE2" s="525"/>
      <c r="CQF2" s="525"/>
      <c r="CQG2" s="525"/>
      <c r="CQH2" s="525"/>
      <c r="CQI2" s="525"/>
      <c r="CQJ2" s="525"/>
      <c r="CQK2" s="525"/>
      <c r="CQL2" s="525"/>
      <c r="CQM2" s="525"/>
      <c r="CQN2" s="525"/>
      <c r="CQO2" s="525"/>
      <c r="CQP2" s="525"/>
      <c r="CQQ2" s="525"/>
      <c r="CQR2" s="525"/>
      <c r="CQS2" s="525"/>
      <c r="CQT2" s="525"/>
      <c r="CQU2" s="525"/>
      <c r="CQV2" s="525"/>
      <c r="CQW2" s="525"/>
      <c r="CQX2" s="525"/>
      <c r="CQY2" s="525"/>
      <c r="CQZ2" s="525"/>
      <c r="CRA2" s="525"/>
      <c r="CRB2" s="525"/>
      <c r="CRC2" s="525"/>
      <c r="CRD2" s="525"/>
      <c r="CRE2" s="525"/>
      <c r="CRF2" s="525"/>
      <c r="CRG2" s="525"/>
      <c r="CRH2" s="525"/>
      <c r="CRI2" s="525"/>
      <c r="CRJ2" s="525"/>
      <c r="CRK2" s="525"/>
      <c r="CRL2" s="525"/>
      <c r="CRM2" s="525"/>
      <c r="CRN2" s="525"/>
      <c r="CRO2" s="525"/>
      <c r="CRP2" s="525"/>
      <c r="CRQ2" s="525"/>
      <c r="CRR2" s="525"/>
      <c r="CRS2" s="525"/>
      <c r="CRT2" s="525"/>
      <c r="CRU2" s="525"/>
      <c r="CRV2" s="525"/>
      <c r="CRW2" s="525"/>
      <c r="CRX2" s="525"/>
      <c r="CRY2" s="525"/>
      <c r="CRZ2" s="525"/>
      <c r="CSA2" s="525"/>
      <c r="CSB2" s="525"/>
      <c r="CSC2" s="525"/>
      <c r="CSD2" s="525"/>
      <c r="CSE2" s="525"/>
      <c r="CSF2" s="525"/>
      <c r="CSG2" s="525"/>
      <c r="CSH2" s="525"/>
      <c r="CSI2" s="525"/>
      <c r="CSJ2" s="525"/>
      <c r="CSK2" s="525"/>
      <c r="CSL2" s="525"/>
      <c r="CSM2" s="525"/>
      <c r="CSN2" s="525"/>
      <c r="CSO2" s="525"/>
      <c r="CSP2" s="525"/>
      <c r="CSQ2" s="525"/>
      <c r="CSR2" s="525"/>
      <c r="CSS2" s="525"/>
      <c r="CST2" s="525"/>
      <c r="CSU2" s="525"/>
      <c r="CSV2" s="525"/>
      <c r="CSW2" s="525"/>
      <c r="CSX2" s="525"/>
      <c r="CSY2" s="525"/>
      <c r="CSZ2" s="525"/>
      <c r="CTA2" s="525"/>
      <c r="CTB2" s="525"/>
      <c r="CTC2" s="525"/>
      <c r="CTD2" s="525"/>
      <c r="CTE2" s="525"/>
      <c r="CTF2" s="525"/>
      <c r="CTG2" s="525"/>
      <c r="CTH2" s="525"/>
      <c r="CTI2" s="525"/>
      <c r="CTJ2" s="525"/>
      <c r="CTK2" s="525"/>
      <c r="CTL2" s="525"/>
      <c r="CTM2" s="525"/>
      <c r="CTN2" s="525"/>
      <c r="CTO2" s="525"/>
      <c r="CTP2" s="525"/>
      <c r="CTQ2" s="525"/>
      <c r="CTR2" s="525"/>
      <c r="CTS2" s="525"/>
      <c r="CTT2" s="525"/>
      <c r="CTU2" s="525"/>
      <c r="CTV2" s="525"/>
      <c r="CTW2" s="525"/>
      <c r="CTX2" s="525"/>
      <c r="CTY2" s="525"/>
      <c r="CTZ2" s="525"/>
      <c r="CUA2" s="525"/>
      <c r="CUB2" s="525"/>
      <c r="CUC2" s="525"/>
      <c r="CUD2" s="525"/>
      <c r="CUE2" s="525"/>
      <c r="CUF2" s="525"/>
      <c r="CUG2" s="525"/>
      <c r="CUH2" s="525"/>
      <c r="CUI2" s="525"/>
      <c r="CUJ2" s="525"/>
      <c r="CUK2" s="525"/>
      <c r="CUL2" s="525"/>
      <c r="CUM2" s="525"/>
      <c r="CUN2" s="525"/>
      <c r="CUO2" s="525"/>
      <c r="CUP2" s="525"/>
      <c r="CUQ2" s="525"/>
      <c r="CUR2" s="525"/>
      <c r="CUS2" s="525"/>
      <c r="CUT2" s="525"/>
      <c r="CUU2" s="525"/>
      <c r="CUV2" s="525"/>
      <c r="CUW2" s="525"/>
      <c r="CUX2" s="525"/>
      <c r="CUY2" s="525"/>
      <c r="CUZ2" s="525"/>
      <c r="CVA2" s="525"/>
      <c r="CVB2" s="525"/>
      <c r="CVC2" s="525"/>
      <c r="CVD2" s="525"/>
      <c r="CVE2" s="525"/>
      <c r="CVF2" s="525"/>
      <c r="CVG2" s="525"/>
      <c r="CVH2" s="525"/>
      <c r="CVI2" s="525"/>
      <c r="CVJ2" s="525"/>
      <c r="CVK2" s="525"/>
      <c r="CVL2" s="525"/>
      <c r="CVM2" s="525"/>
      <c r="CVN2" s="525"/>
      <c r="CVO2" s="525"/>
      <c r="CVP2" s="525"/>
      <c r="CVQ2" s="525"/>
      <c r="CVR2" s="525"/>
      <c r="CVS2" s="525"/>
      <c r="CVT2" s="525"/>
      <c r="CVU2" s="525"/>
      <c r="CVV2" s="525"/>
      <c r="CVW2" s="525"/>
      <c r="CVX2" s="525"/>
      <c r="CVY2" s="525"/>
      <c r="CVZ2" s="525"/>
      <c r="CWA2" s="525"/>
      <c r="CWB2" s="525"/>
      <c r="CWC2" s="525"/>
      <c r="CWD2" s="525"/>
      <c r="CWE2" s="525"/>
      <c r="CWF2" s="525"/>
      <c r="CWG2" s="525"/>
      <c r="CWH2" s="525"/>
      <c r="CWI2" s="525"/>
      <c r="CWJ2" s="525"/>
      <c r="CWK2" s="525"/>
      <c r="CWL2" s="525"/>
      <c r="CWM2" s="525"/>
      <c r="CWN2" s="525"/>
      <c r="CWO2" s="525"/>
      <c r="CWP2" s="525"/>
      <c r="CWQ2" s="525"/>
      <c r="CWR2" s="525"/>
      <c r="CWS2" s="525"/>
      <c r="CWT2" s="525"/>
      <c r="CWU2" s="525"/>
      <c r="CWV2" s="525"/>
      <c r="CWW2" s="525"/>
      <c r="CWX2" s="525"/>
      <c r="CWY2" s="525"/>
      <c r="CWZ2" s="525"/>
      <c r="CXA2" s="525"/>
      <c r="CXB2" s="525"/>
      <c r="CXC2" s="525"/>
      <c r="CXD2" s="525"/>
      <c r="CXE2" s="525"/>
      <c r="CXF2" s="525"/>
      <c r="CXG2" s="525"/>
      <c r="CXH2" s="525"/>
      <c r="CXI2" s="525"/>
      <c r="CXJ2" s="525"/>
      <c r="CXK2" s="525"/>
      <c r="CXL2" s="525"/>
      <c r="CXM2" s="525"/>
      <c r="CXN2" s="525"/>
      <c r="CXO2" s="525"/>
      <c r="CXP2" s="525"/>
      <c r="CXQ2" s="525"/>
      <c r="CXR2" s="525"/>
      <c r="CXS2" s="525"/>
      <c r="CXT2" s="525"/>
      <c r="CXU2" s="525"/>
      <c r="CXV2" s="525"/>
      <c r="CXW2" s="525"/>
      <c r="CXX2" s="525"/>
      <c r="CXY2" s="525"/>
      <c r="CXZ2" s="525"/>
      <c r="CYA2" s="525"/>
      <c r="CYB2" s="525"/>
      <c r="CYC2" s="525"/>
      <c r="CYD2" s="525"/>
      <c r="CYE2" s="525"/>
      <c r="CYF2" s="525"/>
      <c r="CYG2" s="525"/>
      <c r="CYH2" s="525"/>
      <c r="CYI2" s="525"/>
      <c r="CYJ2" s="525"/>
      <c r="CYK2" s="525"/>
      <c r="CYL2" s="525"/>
      <c r="CYM2" s="525"/>
      <c r="CYN2" s="525"/>
      <c r="CYO2" s="525"/>
      <c r="CYP2" s="525"/>
      <c r="CYQ2" s="525"/>
      <c r="CYR2" s="525"/>
      <c r="CYS2" s="525"/>
      <c r="CYT2" s="525"/>
      <c r="CYU2" s="525"/>
      <c r="CYV2" s="525"/>
      <c r="CYW2" s="525"/>
      <c r="CYX2" s="525"/>
      <c r="CYY2" s="525"/>
      <c r="CYZ2" s="525"/>
      <c r="CZA2" s="525"/>
      <c r="CZB2" s="525"/>
      <c r="CZC2" s="525"/>
      <c r="CZD2" s="525"/>
      <c r="CZE2" s="525"/>
      <c r="CZF2" s="525"/>
      <c r="CZG2" s="525"/>
      <c r="CZH2" s="525"/>
      <c r="CZI2" s="525"/>
      <c r="CZJ2" s="525"/>
      <c r="CZK2" s="525"/>
      <c r="CZL2" s="525"/>
      <c r="CZM2" s="525"/>
      <c r="CZN2" s="525"/>
      <c r="CZO2" s="525"/>
      <c r="CZP2" s="525"/>
      <c r="CZQ2" s="525"/>
      <c r="CZR2" s="525"/>
      <c r="CZS2" s="525"/>
      <c r="CZT2" s="525"/>
      <c r="CZU2" s="525"/>
      <c r="CZV2" s="525"/>
      <c r="CZW2" s="525"/>
      <c r="CZX2" s="525"/>
      <c r="CZY2" s="525"/>
      <c r="CZZ2" s="525"/>
      <c r="DAA2" s="525"/>
      <c r="DAB2" s="525"/>
      <c r="DAC2" s="525"/>
      <c r="DAD2" s="525"/>
      <c r="DAE2" s="525"/>
      <c r="DAF2" s="525"/>
      <c r="DAG2" s="525"/>
      <c r="DAH2" s="525"/>
      <c r="DAI2" s="525"/>
      <c r="DAJ2" s="525"/>
      <c r="DAK2" s="525"/>
      <c r="DAL2" s="525"/>
      <c r="DAM2" s="525"/>
      <c r="DAN2" s="525"/>
      <c r="DAO2" s="525"/>
      <c r="DAP2" s="525"/>
      <c r="DAQ2" s="525"/>
      <c r="DAR2" s="525"/>
      <c r="DAS2" s="525"/>
      <c r="DAT2" s="525"/>
      <c r="DAU2" s="525"/>
      <c r="DAV2" s="525"/>
      <c r="DAW2" s="525"/>
      <c r="DAX2" s="525"/>
      <c r="DAY2" s="525"/>
      <c r="DAZ2" s="525"/>
      <c r="DBA2" s="525"/>
      <c r="DBB2" s="525"/>
      <c r="DBC2" s="525"/>
      <c r="DBD2" s="525"/>
      <c r="DBE2" s="525"/>
      <c r="DBF2" s="525"/>
      <c r="DBG2" s="525"/>
      <c r="DBH2" s="525"/>
      <c r="DBI2" s="525"/>
      <c r="DBJ2" s="525"/>
      <c r="DBK2" s="525"/>
      <c r="DBL2" s="525"/>
      <c r="DBM2" s="525"/>
      <c r="DBN2" s="525"/>
      <c r="DBO2" s="525"/>
      <c r="DBP2" s="525"/>
      <c r="DBQ2" s="525"/>
      <c r="DBR2" s="525"/>
      <c r="DBS2" s="525"/>
      <c r="DBT2" s="525"/>
      <c r="DBU2" s="525"/>
      <c r="DBV2" s="525"/>
      <c r="DBW2" s="525"/>
      <c r="DBX2" s="525"/>
      <c r="DBY2" s="525"/>
      <c r="DBZ2" s="525"/>
      <c r="DCA2" s="525"/>
      <c r="DCB2" s="525"/>
      <c r="DCC2" s="525"/>
      <c r="DCD2" s="525"/>
      <c r="DCE2" s="525"/>
      <c r="DCF2" s="525"/>
      <c r="DCG2" s="525"/>
      <c r="DCH2" s="525"/>
      <c r="DCI2" s="525"/>
      <c r="DCJ2" s="525"/>
      <c r="DCK2" s="525"/>
      <c r="DCL2" s="525"/>
      <c r="DCM2" s="525"/>
      <c r="DCN2" s="525"/>
      <c r="DCO2" s="525"/>
      <c r="DCP2" s="525"/>
      <c r="DCQ2" s="525"/>
      <c r="DCR2" s="525"/>
      <c r="DCS2" s="525"/>
      <c r="DCT2" s="525"/>
      <c r="DCU2" s="525"/>
      <c r="DCV2" s="525"/>
      <c r="DCW2" s="525"/>
      <c r="DCX2" s="525"/>
      <c r="DCY2" s="525"/>
      <c r="DCZ2" s="525"/>
      <c r="DDA2" s="525"/>
      <c r="DDB2" s="525"/>
      <c r="DDC2" s="525"/>
      <c r="DDD2" s="525"/>
      <c r="DDE2" s="525"/>
      <c r="DDF2" s="525"/>
      <c r="DDG2" s="525"/>
      <c r="DDH2" s="525"/>
      <c r="DDI2" s="525"/>
      <c r="DDJ2" s="525"/>
      <c r="DDK2" s="525"/>
      <c r="DDL2" s="525"/>
      <c r="DDM2" s="525"/>
      <c r="DDN2" s="525"/>
      <c r="DDO2" s="525"/>
      <c r="DDP2" s="525"/>
      <c r="DDQ2" s="525"/>
      <c r="DDR2" s="525"/>
      <c r="DDS2" s="525"/>
      <c r="DDT2" s="525"/>
      <c r="DDU2" s="525"/>
      <c r="DDV2" s="525"/>
      <c r="DDW2" s="525"/>
      <c r="DDX2" s="525"/>
      <c r="DDY2" s="525"/>
      <c r="DDZ2" s="525"/>
      <c r="DEA2" s="525"/>
      <c r="DEB2" s="525"/>
      <c r="DEC2" s="525"/>
      <c r="DED2" s="525"/>
      <c r="DEE2" s="525"/>
      <c r="DEF2" s="525"/>
      <c r="DEG2" s="525"/>
      <c r="DEH2" s="525"/>
      <c r="DEI2" s="525"/>
      <c r="DEJ2" s="525"/>
      <c r="DEK2" s="525"/>
      <c r="DEL2" s="525"/>
      <c r="DEM2" s="525"/>
      <c r="DEN2" s="525"/>
      <c r="DEO2" s="525"/>
      <c r="DEP2" s="525"/>
      <c r="DEQ2" s="525"/>
      <c r="DER2" s="525"/>
      <c r="DES2" s="525"/>
      <c r="DET2" s="525"/>
      <c r="DEU2" s="525"/>
      <c r="DEV2" s="525"/>
      <c r="DEW2" s="525"/>
      <c r="DEX2" s="525"/>
      <c r="DEY2" s="525"/>
      <c r="DEZ2" s="525"/>
      <c r="DFA2" s="525"/>
      <c r="DFB2" s="525"/>
      <c r="DFC2" s="525"/>
      <c r="DFD2" s="525"/>
      <c r="DFE2" s="525"/>
      <c r="DFF2" s="525"/>
      <c r="DFG2" s="525"/>
      <c r="DFH2" s="525"/>
      <c r="DFI2" s="525"/>
      <c r="DFJ2" s="525"/>
      <c r="DFK2" s="525"/>
      <c r="DFL2" s="525"/>
      <c r="DFM2" s="525"/>
      <c r="DFN2" s="525"/>
      <c r="DFO2" s="525"/>
      <c r="DFP2" s="525"/>
      <c r="DFQ2" s="525"/>
      <c r="DFR2" s="525"/>
      <c r="DFS2" s="525"/>
      <c r="DFT2" s="525"/>
      <c r="DFU2" s="525"/>
      <c r="DFV2" s="525"/>
      <c r="DFW2" s="525"/>
      <c r="DFX2" s="525"/>
      <c r="DFY2" s="525"/>
      <c r="DFZ2" s="525"/>
      <c r="DGA2" s="525"/>
      <c r="DGB2" s="525"/>
      <c r="DGC2" s="525"/>
      <c r="DGD2" s="525"/>
      <c r="DGE2" s="525"/>
      <c r="DGF2" s="525"/>
      <c r="DGG2" s="525"/>
      <c r="DGH2" s="525"/>
      <c r="DGI2" s="525"/>
      <c r="DGJ2" s="525"/>
      <c r="DGK2" s="525"/>
      <c r="DGL2" s="525"/>
      <c r="DGM2" s="525"/>
      <c r="DGN2" s="525"/>
      <c r="DGO2" s="525"/>
      <c r="DGP2" s="525"/>
      <c r="DGQ2" s="525"/>
      <c r="DGR2" s="525"/>
      <c r="DGS2" s="525"/>
      <c r="DGT2" s="525"/>
      <c r="DGU2" s="525"/>
      <c r="DGV2" s="525"/>
      <c r="DGW2" s="525"/>
      <c r="DGX2" s="525"/>
      <c r="DGY2" s="525"/>
      <c r="DGZ2" s="525"/>
      <c r="DHA2" s="525"/>
      <c r="DHB2" s="525"/>
      <c r="DHC2" s="525"/>
      <c r="DHD2" s="525"/>
      <c r="DHE2" s="525"/>
      <c r="DHF2" s="525"/>
      <c r="DHG2" s="525"/>
      <c r="DHH2" s="525"/>
      <c r="DHI2" s="525"/>
      <c r="DHJ2" s="525"/>
      <c r="DHK2" s="525"/>
      <c r="DHL2" s="525"/>
      <c r="DHM2" s="525"/>
      <c r="DHN2" s="525"/>
      <c r="DHO2" s="525"/>
      <c r="DHP2" s="525"/>
      <c r="DHQ2" s="525"/>
      <c r="DHR2" s="525"/>
      <c r="DHS2" s="525"/>
      <c r="DHT2" s="525"/>
      <c r="DHU2" s="525"/>
      <c r="DHV2" s="525"/>
      <c r="DHW2" s="525"/>
      <c r="DHX2" s="525"/>
      <c r="DHY2" s="525"/>
      <c r="DHZ2" s="525"/>
      <c r="DIA2" s="525"/>
      <c r="DIB2" s="525"/>
      <c r="DIC2" s="525"/>
      <c r="DID2" s="525"/>
      <c r="DIE2" s="525"/>
      <c r="DIF2" s="525"/>
      <c r="DIG2" s="525"/>
      <c r="DIH2" s="525"/>
      <c r="DII2" s="525"/>
      <c r="DIJ2" s="525"/>
      <c r="DIK2" s="525"/>
      <c r="DIL2" s="525"/>
      <c r="DIM2" s="525"/>
      <c r="DIN2" s="525"/>
      <c r="DIO2" s="525"/>
      <c r="DIP2" s="525"/>
      <c r="DIQ2" s="525"/>
      <c r="DIR2" s="525"/>
      <c r="DIS2" s="525"/>
      <c r="DIT2" s="525"/>
      <c r="DIU2" s="525"/>
      <c r="DIV2" s="525"/>
      <c r="DIW2" s="525"/>
      <c r="DIX2" s="525"/>
      <c r="DIY2" s="525"/>
      <c r="DIZ2" s="525"/>
      <c r="DJA2" s="525"/>
      <c r="DJB2" s="525"/>
      <c r="DJC2" s="525"/>
      <c r="DJD2" s="525"/>
      <c r="DJE2" s="525"/>
      <c r="DJF2" s="525"/>
      <c r="DJG2" s="525"/>
      <c r="DJH2" s="525"/>
      <c r="DJI2" s="525"/>
      <c r="DJJ2" s="525"/>
      <c r="DJK2" s="525"/>
      <c r="DJL2" s="525"/>
      <c r="DJM2" s="525"/>
      <c r="DJN2" s="525"/>
      <c r="DJO2" s="525"/>
      <c r="DJP2" s="525"/>
      <c r="DJQ2" s="525"/>
      <c r="DJR2" s="525"/>
      <c r="DJS2" s="525"/>
      <c r="DJT2" s="525"/>
      <c r="DJU2" s="525"/>
      <c r="DJV2" s="525"/>
      <c r="DJW2" s="525"/>
      <c r="DJX2" s="525"/>
      <c r="DJY2" s="525"/>
      <c r="DJZ2" s="525"/>
      <c r="DKA2" s="525"/>
      <c r="DKB2" s="525"/>
      <c r="DKC2" s="525"/>
      <c r="DKD2" s="525"/>
      <c r="DKE2" s="525"/>
      <c r="DKF2" s="525"/>
      <c r="DKG2" s="525"/>
      <c r="DKH2" s="525"/>
      <c r="DKI2" s="525"/>
      <c r="DKJ2" s="525"/>
      <c r="DKK2" s="525"/>
      <c r="DKL2" s="525"/>
      <c r="DKM2" s="525"/>
      <c r="DKN2" s="525"/>
      <c r="DKO2" s="525"/>
      <c r="DKP2" s="525"/>
      <c r="DKQ2" s="525"/>
      <c r="DKR2" s="525"/>
      <c r="DKS2" s="525"/>
      <c r="DKT2" s="525"/>
      <c r="DKU2" s="525"/>
      <c r="DKV2" s="525"/>
      <c r="DKW2" s="525"/>
      <c r="DKX2" s="525"/>
      <c r="DKY2" s="525"/>
      <c r="DKZ2" s="525"/>
      <c r="DLA2" s="525"/>
      <c r="DLB2" s="525"/>
      <c r="DLC2" s="525"/>
      <c r="DLD2" s="525"/>
      <c r="DLE2" s="525"/>
      <c r="DLF2" s="525"/>
      <c r="DLG2" s="525"/>
      <c r="DLH2" s="525"/>
      <c r="DLI2" s="525"/>
      <c r="DLJ2" s="525"/>
      <c r="DLK2" s="525"/>
      <c r="DLL2" s="525"/>
      <c r="DLM2" s="525"/>
      <c r="DLN2" s="525"/>
      <c r="DLO2" s="525"/>
      <c r="DLP2" s="525"/>
      <c r="DLQ2" s="525"/>
      <c r="DLR2" s="525"/>
      <c r="DLS2" s="525"/>
      <c r="DLT2" s="525"/>
      <c r="DLU2" s="525"/>
      <c r="DLV2" s="525"/>
      <c r="DLW2" s="525"/>
      <c r="DLX2" s="525"/>
      <c r="DLY2" s="525"/>
      <c r="DLZ2" s="525"/>
      <c r="DMA2" s="525"/>
      <c r="DMB2" s="525"/>
      <c r="DMC2" s="525"/>
      <c r="DMD2" s="525"/>
      <c r="DME2" s="525"/>
      <c r="DMF2" s="525"/>
      <c r="DMG2" s="525"/>
      <c r="DMH2" s="525"/>
      <c r="DMI2" s="525"/>
      <c r="DMJ2" s="525"/>
      <c r="DMK2" s="525"/>
      <c r="DML2" s="525"/>
      <c r="DMM2" s="525"/>
      <c r="DMN2" s="525"/>
      <c r="DMO2" s="525"/>
      <c r="DMP2" s="525"/>
      <c r="DMQ2" s="525"/>
      <c r="DMR2" s="525"/>
      <c r="DMS2" s="525"/>
      <c r="DMT2" s="525"/>
      <c r="DMU2" s="525"/>
      <c r="DMV2" s="525"/>
      <c r="DMW2" s="525"/>
      <c r="DMX2" s="525"/>
      <c r="DMY2" s="525"/>
      <c r="DMZ2" s="525"/>
      <c r="DNA2" s="525"/>
      <c r="DNB2" s="525"/>
      <c r="DNC2" s="525"/>
      <c r="DND2" s="525"/>
      <c r="DNE2" s="525"/>
      <c r="DNF2" s="525"/>
      <c r="DNG2" s="525"/>
      <c r="DNH2" s="525"/>
      <c r="DNI2" s="525"/>
      <c r="DNJ2" s="525"/>
      <c r="DNK2" s="525"/>
      <c r="DNL2" s="525"/>
      <c r="DNM2" s="525"/>
      <c r="DNN2" s="525"/>
      <c r="DNO2" s="525"/>
      <c r="DNP2" s="525"/>
      <c r="DNQ2" s="525"/>
      <c r="DNR2" s="525"/>
      <c r="DNS2" s="525"/>
      <c r="DNT2" s="525"/>
      <c r="DNU2" s="525"/>
      <c r="DNV2" s="525"/>
      <c r="DNW2" s="525"/>
      <c r="DNX2" s="525"/>
      <c r="DNY2" s="525"/>
      <c r="DNZ2" s="525"/>
      <c r="DOA2" s="525"/>
      <c r="DOB2" s="525"/>
      <c r="DOC2" s="525"/>
      <c r="DOD2" s="525"/>
      <c r="DOE2" s="525"/>
      <c r="DOF2" s="525"/>
      <c r="DOG2" s="525"/>
      <c r="DOH2" s="525"/>
      <c r="DOI2" s="525"/>
      <c r="DOJ2" s="525"/>
      <c r="DOK2" s="525"/>
      <c r="DOL2" s="525"/>
      <c r="DOM2" s="525"/>
      <c r="DON2" s="525"/>
      <c r="DOO2" s="525"/>
      <c r="DOP2" s="525"/>
      <c r="DOQ2" s="525"/>
      <c r="DOR2" s="525"/>
      <c r="DOS2" s="525"/>
      <c r="DOT2" s="525"/>
      <c r="DOU2" s="525"/>
      <c r="DOV2" s="525"/>
      <c r="DOW2" s="525"/>
      <c r="DOX2" s="525"/>
      <c r="DOY2" s="525"/>
      <c r="DOZ2" s="525"/>
      <c r="DPA2" s="525"/>
      <c r="DPB2" s="525"/>
      <c r="DPC2" s="525"/>
      <c r="DPD2" s="525"/>
      <c r="DPE2" s="525"/>
      <c r="DPF2" s="525"/>
      <c r="DPG2" s="525"/>
      <c r="DPH2" s="525"/>
      <c r="DPI2" s="525"/>
      <c r="DPJ2" s="525"/>
      <c r="DPK2" s="525"/>
      <c r="DPL2" s="525"/>
      <c r="DPM2" s="525"/>
      <c r="DPN2" s="525"/>
      <c r="DPO2" s="525"/>
      <c r="DPP2" s="525"/>
      <c r="DPQ2" s="525"/>
      <c r="DPR2" s="525"/>
      <c r="DPS2" s="525"/>
      <c r="DPT2" s="525"/>
      <c r="DPU2" s="525"/>
      <c r="DPV2" s="525"/>
      <c r="DPW2" s="525"/>
      <c r="DPX2" s="525"/>
      <c r="DPY2" s="525"/>
      <c r="DPZ2" s="525"/>
      <c r="DQA2" s="525"/>
      <c r="DQB2" s="525"/>
      <c r="DQC2" s="525"/>
      <c r="DQD2" s="525"/>
      <c r="DQE2" s="525"/>
      <c r="DQF2" s="525"/>
      <c r="DQG2" s="525"/>
      <c r="DQH2" s="525"/>
      <c r="DQI2" s="525"/>
      <c r="DQJ2" s="525"/>
      <c r="DQK2" s="525"/>
      <c r="DQL2" s="525"/>
      <c r="DQM2" s="525"/>
      <c r="DQN2" s="525"/>
      <c r="DQO2" s="525"/>
      <c r="DQP2" s="525"/>
      <c r="DQQ2" s="525"/>
      <c r="DQR2" s="525"/>
      <c r="DQS2" s="525"/>
      <c r="DQT2" s="525"/>
      <c r="DQU2" s="525"/>
      <c r="DQV2" s="525"/>
      <c r="DQW2" s="525"/>
      <c r="DQX2" s="525"/>
      <c r="DQY2" s="525"/>
      <c r="DQZ2" s="525"/>
      <c r="DRA2" s="525"/>
      <c r="DRB2" s="525"/>
      <c r="DRC2" s="525"/>
      <c r="DRD2" s="525"/>
      <c r="DRE2" s="525"/>
      <c r="DRF2" s="525"/>
      <c r="DRG2" s="525"/>
      <c r="DRH2" s="525"/>
      <c r="DRI2" s="525"/>
      <c r="DRJ2" s="525"/>
      <c r="DRK2" s="525"/>
      <c r="DRL2" s="525"/>
      <c r="DRM2" s="525"/>
      <c r="DRN2" s="525"/>
      <c r="DRO2" s="525"/>
      <c r="DRP2" s="525"/>
      <c r="DRQ2" s="525"/>
      <c r="DRR2" s="525"/>
      <c r="DRS2" s="525"/>
      <c r="DRT2" s="525"/>
      <c r="DRU2" s="525"/>
      <c r="DRV2" s="525"/>
      <c r="DRW2" s="525"/>
      <c r="DRX2" s="525"/>
      <c r="DRY2" s="525"/>
      <c r="DRZ2" s="525"/>
      <c r="DSA2" s="525"/>
      <c r="DSB2" s="525"/>
      <c r="DSC2" s="525"/>
      <c r="DSD2" s="525"/>
      <c r="DSE2" s="525"/>
      <c r="DSF2" s="525"/>
      <c r="DSG2" s="525"/>
      <c r="DSH2" s="525"/>
      <c r="DSI2" s="525"/>
      <c r="DSJ2" s="525"/>
      <c r="DSK2" s="525"/>
      <c r="DSL2" s="525"/>
      <c r="DSM2" s="525"/>
      <c r="DSN2" s="525"/>
      <c r="DSO2" s="525"/>
      <c r="DSP2" s="525"/>
      <c r="DSQ2" s="525"/>
      <c r="DSR2" s="525"/>
      <c r="DSS2" s="525"/>
      <c r="DST2" s="525"/>
      <c r="DSU2" s="525"/>
      <c r="DSV2" s="525"/>
      <c r="DSW2" s="525"/>
      <c r="DSX2" s="525"/>
      <c r="DSY2" s="525"/>
      <c r="DSZ2" s="525"/>
      <c r="DTA2" s="525"/>
      <c r="DTB2" s="525"/>
      <c r="DTC2" s="525"/>
      <c r="DTD2" s="525"/>
      <c r="DTE2" s="525"/>
      <c r="DTF2" s="525"/>
      <c r="DTG2" s="525"/>
      <c r="DTH2" s="525"/>
      <c r="DTI2" s="525"/>
      <c r="DTJ2" s="525"/>
      <c r="DTK2" s="525"/>
      <c r="DTL2" s="525"/>
      <c r="DTM2" s="525"/>
      <c r="DTN2" s="525"/>
      <c r="DTO2" s="525"/>
      <c r="DTP2" s="525"/>
      <c r="DTQ2" s="525"/>
      <c r="DTR2" s="525"/>
      <c r="DTS2" s="525"/>
      <c r="DTT2" s="525"/>
      <c r="DTU2" s="525"/>
      <c r="DTV2" s="525"/>
      <c r="DTW2" s="525"/>
      <c r="DTX2" s="525"/>
      <c r="DTY2" s="525"/>
      <c r="DTZ2" s="525"/>
      <c r="DUA2" s="525"/>
      <c r="DUB2" s="525"/>
      <c r="DUC2" s="525"/>
      <c r="DUD2" s="525"/>
      <c r="DUE2" s="525"/>
      <c r="DUF2" s="525"/>
      <c r="DUG2" s="525"/>
      <c r="DUH2" s="525"/>
      <c r="DUI2" s="525"/>
      <c r="DUJ2" s="525"/>
      <c r="DUK2" s="525"/>
      <c r="DUL2" s="525"/>
      <c r="DUM2" s="525"/>
      <c r="DUN2" s="525"/>
      <c r="DUO2" s="525"/>
      <c r="DUP2" s="525"/>
      <c r="DUQ2" s="525"/>
      <c r="DUR2" s="525"/>
      <c r="DUS2" s="525"/>
      <c r="DUT2" s="525"/>
      <c r="DUU2" s="525"/>
      <c r="DUV2" s="525"/>
      <c r="DUW2" s="525"/>
      <c r="DUX2" s="525"/>
      <c r="DUY2" s="525"/>
      <c r="DUZ2" s="525"/>
      <c r="DVA2" s="525"/>
      <c r="DVB2" s="525"/>
      <c r="DVC2" s="525"/>
      <c r="DVD2" s="525"/>
      <c r="DVE2" s="525"/>
      <c r="DVF2" s="525"/>
      <c r="DVG2" s="525"/>
      <c r="DVH2" s="525"/>
      <c r="DVI2" s="525"/>
      <c r="DVJ2" s="525"/>
      <c r="DVK2" s="525"/>
      <c r="DVL2" s="525"/>
      <c r="DVM2" s="525"/>
      <c r="DVN2" s="525"/>
      <c r="DVO2" s="525"/>
      <c r="DVP2" s="525"/>
      <c r="DVQ2" s="525"/>
      <c r="DVR2" s="525"/>
      <c r="DVS2" s="525"/>
      <c r="DVT2" s="525"/>
      <c r="DVU2" s="525"/>
      <c r="DVV2" s="525"/>
      <c r="DVW2" s="525"/>
      <c r="DVX2" s="525"/>
      <c r="DVY2" s="525"/>
      <c r="DVZ2" s="525"/>
      <c r="DWA2" s="525"/>
      <c r="DWB2" s="525"/>
      <c r="DWC2" s="525"/>
      <c r="DWD2" s="525"/>
      <c r="DWE2" s="525"/>
      <c r="DWF2" s="525"/>
      <c r="DWG2" s="525"/>
      <c r="DWH2" s="525"/>
      <c r="DWI2" s="525"/>
      <c r="DWJ2" s="525"/>
      <c r="DWK2" s="525"/>
      <c r="DWL2" s="525"/>
      <c r="DWM2" s="525"/>
      <c r="DWN2" s="525"/>
      <c r="DWO2" s="525"/>
      <c r="DWP2" s="525"/>
      <c r="DWQ2" s="525"/>
      <c r="DWR2" s="525"/>
      <c r="DWS2" s="525"/>
      <c r="DWT2" s="525"/>
      <c r="DWU2" s="525"/>
      <c r="DWV2" s="525"/>
      <c r="DWW2" s="525"/>
      <c r="DWX2" s="525"/>
      <c r="DWY2" s="525"/>
      <c r="DWZ2" s="525"/>
      <c r="DXA2" s="525"/>
      <c r="DXB2" s="525"/>
      <c r="DXC2" s="525"/>
      <c r="DXD2" s="525"/>
      <c r="DXE2" s="525"/>
      <c r="DXF2" s="525"/>
      <c r="DXG2" s="525"/>
      <c r="DXH2" s="525"/>
      <c r="DXI2" s="525"/>
      <c r="DXJ2" s="525"/>
      <c r="DXK2" s="525"/>
      <c r="DXL2" s="525"/>
      <c r="DXM2" s="525"/>
      <c r="DXN2" s="525"/>
      <c r="DXO2" s="525"/>
      <c r="DXP2" s="525"/>
      <c r="DXQ2" s="525"/>
      <c r="DXR2" s="525"/>
      <c r="DXS2" s="525"/>
      <c r="DXT2" s="525"/>
      <c r="DXU2" s="525"/>
      <c r="DXV2" s="525"/>
      <c r="DXW2" s="525"/>
      <c r="DXX2" s="525"/>
      <c r="DXY2" s="525"/>
      <c r="DXZ2" s="525"/>
      <c r="DYA2" s="525"/>
      <c r="DYB2" s="525"/>
      <c r="DYC2" s="525"/>
      <c r="DYD2" s="525"/>
      <c r="DYE2" s="525"/>
      <c r="DYF2" s="525"/>
      <c r="DYG2" s="525"/>
      <c r="DYH2" s="525"/>
      <c r="DYI2" s="525"/>
      <c r="DYJ2" s="525"/>
      <c r="DYK2" s="525"/>
      <c r="DYL2" s="525"/>
      <c r="DYM2" s="525"/>
      <c r="DYN2" s="525"/>
      <c r="DYO2" s="525"/>
      <c r="DYP2" s="525"/>
      <c r="DYQ2" s="525"/>
      <c r="DYR2" s="525"/>
      <c r="DYS2" s="525"/>
      <c r="DYT2" s="525"/>
      <c r="DYU2" s="525"/>
      <c r="DYV2" s="525"/>
      <c r="DYW2" s="525"/>
      <c r="DYX2" s="525"/>
      <c r="DYY2" s="525"/>
      <c r="DYZ2" s="525"/>
      <c r="DZA2" s="525"/>
      <c r="DZB2" s="525"/>
      <c r="DZC2" s="525"/>
      <c r="DZD2" s="525"/>
      <c r="DZE2" s="525"/>
      <c r="DZF2" s="525"/>
      <c r="DZG2" s="525"/>
      <c r="DZH2" s="525"/>
      <c r="DZI2" s="525"/>
      <c r="DZJ2" s="525"/>
      <c r="DZK2" s="525"/>
      <c r="DZL2" s="525"/>
      <c r="DZM2" s="525"/>
      <c r="DZN2" s="525"/>
      <c r="DZO2" s="525"/>
      <c r="DZP2" s="525"/>
      <c r="DZQ2" s="525"/>
      <c r="DZR2" s="525"/>
      <c r="DZS2" s="525"/>
      <c r="DZT2" s="525"/>
      <c r="DZU2" s="525"/>
      <c r="DZV2" s="525"/>
      <c r="DZW2" s="525"/>
      <c r="DZX2" s="525"/>
      <c r="DZY2" s="525"/>
      <c r="DZZ2" s="525"/>
      <c r="EAA2" s="525"/>
      <c r="EAB2" s="525"/>
      <c r="EAC2" s="525"/>
      <c r="EAD2" s="525"/>
      <c r="EAE2" s="525"/>
      <c r="EAF2" s="525"/>
      <c r="EAG2" s="525"/>
      <c r="EAH2" s="525"/>
      <c r="EAI2" s="525"/>
      <c r="EAJ2" s="525"/>
      <c r="EAK2" s="525"/>
      <c r="EAL2" s="525"/>
      <c r="EAM2" s="525"/>
      <c r="EAN2" s="525"/>
      <c r="EAO2" s="525"/>
      <c r="EAP2" s="525"/>
      <c r="EAQ2" s="525"/>
      <c r="EAR2" s="525"/>
      <c r="EAS2" s="525"/>
      <c r="EAT2" s="525"/>
      <c r="EAU2" s="525"/>
      <c r="EAV2" s="525"/>
      <c r="EAW2" s="525"/>
      <c r="EAX2" s="525"/>
      <c r="EAY2" s="525"/>
      <c r="EAZ2" s="525"/>
      <c r="EBA2" s="525"/>
      <c r="EBB2" s="525"/>
      <c r="EBC2" s="525"/>
      <c r="EBD2" s="525"/>
      <c r="EBE2" s="525"/>
      <c r="EBF2" s="525"/>
      <c r="EBG2" s="525"/>
      <c r="EBH2" s="525"/>
      <c r="EBI2" s="525"/>
      <c r="EBJ2" s="525"/>
      <c r="EBK2" s="525"/>
      <c r="EBL2" s="525"/>
      <c r="EBM2" s="525"/>
      <c r="EBN2" s="525"/>
      <c r="EBO2" s="525"/>
      <c r="EBP2" s="525"/>
      <c r="EBQ2" s="525"/>
      <c r="EBR2" s="525"/>
      <c r="EBS2" s="525"/>
      <c r="EBT2" s="525"/>
      <c r="EBU2" s="525"/>
      <c r="EBV2" s="525"/>
      <c r="EBW2" s="525"/>
      <c r="EBX2" s="525"/>
      <c r="EBY2" s="525"/>
      <c r="EBZ2" s="525"/>
      <c r="ECA2" s="525"/>
      <c r="ECB2" s="525"/>
      <c r="ECC2" s="525"/>
      <c r="ECD2" s="525"/>
      <c r="ECE2" s="525"/>
      <c r="ECF2" s="525"/>
      <c r="ECG2" s="525"/>
      <c r="ECH2" s="525"/>
      <c r="ECI2" s="525"/>
      <c r="ECJ2" s="525"/>
      <c r="ECK2" s="525"/>
      <c r="ECL2" s="525"/>
      <c r="ECM2" s="525"/>
      <c r="ECN2" s="525"/>
      <c r="ECO2" s="525"/>
      <c r="ECP2" s="525"/>
      <c r="ECQ2" s="525"/>
      <c r="ECR2" s="525"/>
      <c r="ECS2" s="525"/>
      <c r="ECT2" s="525"/>
      <c r="ECU2" s="525"/>
      <c r="ECV2" s="525"/>
      <c r="ECW2" s="525"/>
      <c r="ECX2" s="525"/>
      <c r="ECY2" s="525"/>
      <c r="ECZ2" s="525"/>
      <c r="EDA2" s="525"/>
      <c r="EDB2" s="525"/>
      <c r="EDC2" s="525"/>
      <c r="EDD2" s="525"/>
      <c r="EDE2" s="525"/>
      <c r="EDF2" s="525"/>
      <c r="EDG2" s="525"/>
      <c r="EDH2" s="525"/>
      <c r="EDI2" s="525"/>
      <c r="EDJ2" s="525"/>
      <c r="EDK2" s="525"/>
      <c r="EDL2" s="525"/>
      <c r="EDM2" s="525"/>
      <c r="EDN2" s="525"/>
      <c r="EDO2" s="525"/>
      <c r="EDP2" s="525"/>
      <c r="EDQ2" s="525"/>
      <c r="EDR2" s="525"/>
      <c r="EDS2" s="525"/>
      <c r="EDT2" s="525"/>
      <c r="EDU2" s="525"/>
      <c r="EDV2" s="525"/>
      <c r="EDW2" s="525"/>
      <c r="EDX2" s="525"/>
      <c r="EDY2" s="525"/>
      <c r="EDZ2" s="525"/>
      <c r="EEA2" s="525"/>
      <c r="EEB2" s="525"/>
      <c r="EEC2" s="525"/>
      <c r="EED2" s="525"/>
      <c r="EEE2" s="525"/>
      <c r="EEF2" s="525"/>
      <c r="EEG2" s="525"/>
      <c r="EEH2" s="525"/>
      <c r="EEI2" s="525"/>
      <c r="EEJ2" s="525"/>
      <c r="EEK2" s="525"/>
      <c r="EEL2" s="525"/>
      <c r="EEM2" s="525"/>
      <c r="EEN2" s="525"/>
      <c r="EEO2" s="525"/>
      <c r="EEP2" s="525"/>
      <c r="EEQ2" s="525"/>
      <c r="EER2" s="525"/>
      <c r="EES2" s="525"/>
      <c r="EET2" s="525"/>
      <c r="EEU2" s="525"/>
      <c r="EEV2" s="525"/>
      <c r="EEW2" s="525"/>
      <c r="EEX2" s="525"/>
      <c r="EEY2" s="525"/>
      <c r="EEZ2" s="525"/>
      <c r="EFA2" s="525"/>
      <c r="EFB2" s="525"/>
      <c r="EFC2" s="525"/>
      <c r="EFD2" s="525"/>
      <c r="EFE2" s="525"/>
      <c r="EFF2" s="525"/>
      <c r="EFG2" s="525"/>
      <c r="EFH2" s="525"/>
      <c r="EFI2" s="525"/>
      <c r="EFJ2" s="525"/>
      <c r="EFK2" s="525"/>
      <c r="EFL2" s="525"/>
      <c r="EFM2" s="525"/>
      <c r="EFN2" s="525"/>
      <c r="EFO2" s="525"/>
      <c r="EFP2" s="525"/>
      <c r="EFQ2" s="525"/>
      <c r="EFR2" s="525"/>
      <c r="EFS2" s="525"/>
      <c r="EFT2" s="525"/>
      <c r="EFU2" s="525"/>
      <c r="EFV2" s="525"/>
      <c r="EFW2" s="525"/>
      <c r="EFX2" s="525"/>
      <c r="EFY2" s="525"/>
      <c r="EFZ2" s="525"/>
      <c r="EGA2" s="525"/>
      <c r="EGB2" s="525"/>
      <c r="EGC2" s="525"/>
      <c r="EGD2" s="525"/>
      <c r="EGE2" s="525"/>
      <c r="EGF2" s="525"/>
      <c r="EGG2" s="525"/>
      <c r="EGH2" s="525"/>
      <c r="EGI2" s="525"/>
      <c r="EGJ2" s="525"/>
      <c r="EGK2" s="525"/>
      <c r="EGL2" s="525"/>
      <c r="EGM2" s="525"/>
      <c r="EGN2" s="525"/>
      <c r="EGO2" s="525"/>
      <c r="EGP2" s="525"/>
      <c r="EGQ2" s="525"/>
      <c r="EGR2" s="525"/>
      <c r="EGS2" s="525"/>
      <c r="EGT2" s="525"/>
      <c r="EGU2" s="525"/>
      <c r="EGV2" s="525"/>
      <c r="EGW2" s="525"/>
      <c r="EGX2" s="525"/>
      <c r="EGY2" s="525"/>
      <c r="EGZ2" s="525"/>
      <c r="EHA2" s="525"/>
      <c r="EHB2" s="525"/>
      <c r="EHC2" s="525"/>
      <c r="EHD2" s="525"/>
      <c r="EHE2" s="525"/>
      <c r="EHF2" s="525"/>
      <c r="EHG2" s="525"/>
      <c r="EHH2" s="525"/>
      <c r="EHI2" s="525"/>
      <c r="EHJ2" s="525"/>
      <c r="EHK2" s="525"/>
      <c r="EHL2" s="525"/>
      <c r="EHM2" s="525"/>
      <c r="EHN2" s="525"/>
      <c r="EHO2" s="525"/>
      <c r="EHP2" s="525"/>
      <c r="EHQ2" s="525"/>
      <c r="EHR2" s="525"/>
      <c r="EHS2" s="525"/>
      <c r="EHT2" s="525"/>
      <c r="EHU2" s="525"/>
      <c r="EHV2" s="525"/>
      <c r="EHW2" s="525"/>
      <c r="EHX2" s="525"/>
      <c r="EHY2" s="525"/>
      <c r="EHZ2" s="525"/>
      <c r="EIA2" s="525"/>
      <c r="EIB2" s="525"/>
      <c r="EIC2" s="525"/>
      <c r="EID2" s="525"/>
      <c r="EIE2" s="525"/>
      <c r="EIF2" s="525"/>
      <c r="EIG2" s="525"/>
      <c r="EIH2" s="525"/>
      <c r="EII2" s="525"/>
      <c r="EIJ2" s="525"/>
      <c r="EIK2" s="525"/>
      <c r="EIL2" s="525"/>
      <c r="EIM2" s="525"/>
      <c r="EIN2" s="525"/>
      <c r="EIO2" s="525"/>
      <c r="EIP2" s="525"/>
      <c r="EIQ2" s="525"/>
      <c r="EIR2" s="525"/>
      <c r="EIS2" s="525"/>
      <c r="EIT2" s="525"/>
      <c r="EIU2" s="525"/>
      <c r="EIV2" s="525"/>
      <c r="EIW2" s="525"/>
      <c r="EIX2" s="525"/>
      <c r="EIY2" s="525"/>
      <c r="EIZ2" s="525"/>
      <c r="EJA2" s="525"/>
      <c r="EJB2" s="525"/>
      <c r="EJC2" s="525"/>
      <c r="EJD2" s="525"/>
      <c r="EJE2" s="525"/>
      <c r="EJF2" s="525"/>
      <c r="EJG2" s="525"/>
      <c r="EJH2" s="525"/>
      <c r="EJI2" s="525"/>
      <c r="EJJ2" s="525"/>
      <c r="EJK2" s="525"/>
      <c r="EJL2" s="525"/>
      <c r="EJM2" s="525"/>
      <c r="EJN2" s="525"/>
      <c r="EJO2" s="525"/>
      <c r="EJP2" s="525"/>
      <c r="EJQ2" s="525"/>
      <c r="EJR2" s="525"/>
      <c r="EJS2" s="525"/>
      <c r="EJT2" s="525"/>
      <c r="EJU2" s="525"/>
      <c r="EJV2" s="525"/>
      <c r="EJW2" s="525"/>
      <c r="EJX2" s="525"/>
      <c r="EJY2" s="525"/>
      <c r="EJZ2" s="525"/>
      <c r="EKA2" s="525"/>
      <c r="EKB2" s="525"/>
      <c r="EKC2" s="525"/>
      <c r="EKD2" s="525"/>
      <c r="EKE2" s="525"/>
      <c r="EKF2" s="525"/>
      <c r="EKG2" s="525"/>
      <c r="EKH2" s="525"/>
      <c r="EKI2" s="525"/>
      <c r="EKJ2" s="525"/>
      <c r="EKK2" s="525"/>
      <c r="EKL2" s="525"/>
      <c r="EKM2" s="525"/>
      <c r="EKN2" s="525"/>
      <c r="EKO2" s="525"/>
      <c r="EKP2" s="525"/>
      <c r="EKQ2" s="525"/>
      <c r="EKR2" s="525"/>
      <c r="EKS2" s="525"/>
      <c r="EKT2" s="525"/>
      <c r="EKU2" s="525"/>
      <c r="EKV2" s="525"/>
      <c r="EKW2" s="525"/>
      <c r="EKX2" s="525"/>
      <c r="EKY2" s="525"/>
      <c r="EKZ2" s="525"/>
      <c r="ELA2" s="525"/>
      <c r="ELB2" s="525"/>
      <c r="ELC2" s="525"/>
      <c r="ELD2" s="525"/>
      <c r="ELE2" s="525"/>
      <c r="ELF2" s="525"/>
      <c r="ELG2" s="525"/>
      <c r="ELH2" s="525"/>
      <c r="ELI2" s="525"/>
      <c r="ELJ2" s="525"/>
      <c r="ELK2" s="525"/>
      <c r="ELL2" s="525"/>
      <c r="ELM2" s="525"/>
      <c r="ELN2" s="525"/>
      <c r="ELO2" s="525"/>
      <c r="ELP2" s="525"/>
      <c r="ELQ2" s="525"/>
      <c r="ELR2" s="525"/>
      <c r="ELS2" s="525"/>
      <c r="ELT2" s="525"/>
      <c r="ELU2" s="525"/>
      <c r="ELV2" s="525"/>
      <c r="ELW2" s="525"/>
      <c r="ELX2" s="525"/>
      <c r="ELY2" s="525"/>
      <c r="ELZ2" s="525"/>
      <c r="EMA2" s="525"/>
      <c r="EMB2" s="525"/>
      <c r="EMC2" s="525"/>
      <c r="EMD2" s="525"/>
      <c r="EME2" s="525"/>
      <c r="EMF2" s="525"/>
      <c r="EMG2" s="525"/>
      <c r="EMH2" s="525"/>
      <c r="EMI2" s="525"/>
      <c r="EMJ2" s="525"/>
      <c r="EMK2" s="525"/>
      <c r="EML2" s="525"/>
      <c r="EMM2" s="525"/>
      <c r="EMN2" s="525"/>
      <c r="EMO2" s="525"/>
      <c r="EMP2" s="525"/>
      <c r="EMQ2" s="525"/>
      <c r="EMR2" s="525"/>
      <c r="EMS2" s="525"/>
      <c r="EMT2" s="525"/>
      <c r="EMU2" s="525"/>
      <c r="EMV2" s="525"/>
      <c r="EMW2" s="525"/>
      <c r="EMX2" s="525"/>
      <c r="EMY2" s="525"/>
      <c r="EMZ2" s="525"/>
      <c r="ENA2" s="525"/>
      <c r="ENB2" s="525"/>
      <c r="ENC2" s="525"/>
      <c r="END2" s="525"/>
      <c r="ENE2" s="525"/>
      <c r="ENF2" s="525"/>
      <c r="ENG2" s="525"/>
      <c r="ENH2" s="525"/>
      <c r="ENI2" s="525"/>
      <c r="ENJ2" s="525"/>
      <c r="ENK2" s="525"/>
      <c r="ENL2" s="525"/>
      <c r="ENM2" s="525"/>
      <c r="ENN2" s="525"/>
      <c r="ENO2" s="525"/>
      <c r="ENP2" s="525"/>
      <c r="ENQ2" s="525"/>
      <c r="ENR2" s="525"/>
      <c r="ENS2" s="525"/>
      <c r="ENT2" s="525"/>
      <c r="ENU2" s="525"/>
      <c r="ENV2" s="525"/>
      <c r="ENW2" s="525"/>
      <c r="ENX2" s="525"/>
      <c r="ENY2" s="525"/>
      <c r="ENZ2" s="525"/>
      <c r="EOA2" s="525"/>
      <c r="EOB2" s="525"/>
      <c r="EOC2" s="525"/>
      <c r="EOD2" s="525"/>
      <c r="EOE2" s="525"/>
      <c r="EOF2" s="525"/>
      <c r="EOG2" s="525"/>
      <c r="EOH2" s="525"/>
      <c r="EOI2" s="525"/>
      <c r="EOJ2" s="525"/>
      <c r="EOK2" s="525"/>
      <c r="EOL2" s="525"/>
      <c r="EOM2" s="525"/>
      <c r="EON2" s="525"/>
      <c r="EOO2" s="525"/>
      <c r="EOP2" s="525"/>
      <c r="EOQ2" s="525"/>
      <c r="EOR2" s="525"/>
      <c r="EOS2" s="525"/>
      <c r="EOT2" s="525"/>
      <c r="EOU2" s="525"/>
      <c r="EOV2" s="525"/>
      <c r="EOW2" s="525"/>
      <c r="EOX2" s="525"/>
      <c r="EOY2" s="525"/>
      <c r="EOZ2" s="525"/>
      <c r="EPA2" s="525"/>
      <c r="EPB2" s="525"/>
      <c r="EPC2" s="525"/>
      <c r="EPD2" s="525"/>
      <c r="EPE2" s="525"/>
      <c r="EPF2" s="525"/>
      <c r="EPG2" s="525"/>
      <c r="EPH2" s="525"/>
      <c r="EPI2" s="525"/>
      <c r="EPJ2" s="525"/>
      <c r="EPK2" s="525"/>
      <c r="EPL2" s="525"/>
      <c r="EPM2" s="525"/>
      <c r="EPN2" s="525"/>
      <c r="EPO2" s="525"/>
      <c r="EPP2" s="525"/>
      <c r="EPQ2" s="525"/>
      <c r="EPR2" s="525"/>
      <c r="EPS2" s="525"/>
      <c r="EPT2" s="525"/>
      <c r="EPU2" s="525"/>
      <c r="EPV2" s="525"/>
      <c r="EPW2" s="525"/>
      <c r="EPX2" s="525"/>
      <c r="EPY2" s="525"/>
      <c r="EPZ2" s="525"/>
      <c r="EQA2" s="525"/>
      <c r="EQB2" s="525"/>
      <c r="EQC2" s="525"/>
      <c r="EQD2" s="525"/>
      <c r="EQE2" s="525"/>
      <c r="EQF2" s="525"/>
      <c r="EQG2" s="525"/>
      <c r="EQH2" s="525"/>
      <c r="EQI2" s="525"/>
      <c r="EQJ2" s="525"/>
      <c r="EQK2" s="525"/>
      <c r="EQL2" s="525"/>
      <c r="EQM2" s="525"/>
      <c r="EQN2" s="525"/>
      <c r="EQO2" s="525"/>
      <c r="EQP2" s="525"/>
      <c r="EQQ2" s="525"/>
      <c r="EQR2" s="525"/>
      <c r="EQS2" s="525"/>
      <c r="EQT2" s="525"/>
      <c r="EQU2" s="525"/>
      <c r="EQV2" s="525"/>
      <c r="EQW2" s="525"/>
      <c r="EQX2" s="525"/>
      <c r="EQY2" s="525"/>
      <c r="EQZ2" s="525"/>
      <c r="ERA2" s="525"/>
      <c r="ERB2" s="525"/>
      <c r="ERC2" s="525"/>
      <c r="ERD2" s="525"/>
      <c r="ERE2" s="525"/>
      <c r="ERF2" s="525"/>
      <c r="ERG2" s="525"/>
      <c r="ERH2" s="525"/>
      <c r="ERI2" s="525"/>
      <c r="ERJ2" s="525"/>
      <c r="ERK2" s="525"/>
      <c r="ERL2" s="525"/>
      <c r="ERM2" s="525"/>
      <c r="ERN2" s="525"/>
      <c r="ERO2" s="525"/>
      <c r="ERP2" s="525"/>
      <c r="ERQ2" s="525"/>
      <c r="ERR2" s="525"/>
      <c r="ERS2" s="525"/>
      <c r="ERT2" s="525"/>
      <c r="ERU2" s="525"/>
      <c r="ERV2" s="525"/>
      <c r="ERW2" s="525"/>
      <c r="ERX2" s="525"/>
      <c r="ERY2" s="525"/>
      <c r="ERZ2" s="525"/>
      <c r="ESA2" s="525"/>
      <c r="ESB2" s="525"/>
      <c r="ESC2" s="525"/>
      <c r="ESD2" s="525"/>
      <c r="ESE2" s="525"/>
      <c r="ESF2" s="525"/>
      <c r="ESG2" s="525"/>
      <c r="ESH2" s="525"/>
      <c r="ESI2" s="525"/>
      <c r="ESJ2" s="525"/>
      <c r="ESK2" s="525"/>
      <c r="ESL2" s="525"/>
      <c r="ESM2" s="525"/>
      <c r="ESN2" s="525"/>
      <c r="ESO2" s="525"/>
      <c r="ESP2" s="525"/>
      <c r="ESQ2" s="525"/>
      <c r="ESR2" s="525"/>
      <c r="ESS2" s="525"/>
      <c r="EST2" s="525"/>
      <c r="ESU2" s="525"/>
      <c r="ESV2" s="525"/>
      <c r="ESW2" s="525"/>
      <c r="ESX2" s="525"/>
      <c r="ESY2" s="525"/>
      <c r="ESZ2" s="525"/>
      <c r="ETA2" s="525"/>
      <c r="ETB2" s="525"/>
      <c r="ETC2" s="525"/>
      <c r="ETD2" s="525"/>
      <c r="ETE2" s="525"/>
      <c r="ETF2" s="525"/>
      <c r="ETG2" s="525"/>
      <c r="ETH2" s="525"/>
      <c r="ETI2" s="525"/>
      <c r="ETJ2" s="525"/>
      <c r="ETK2" s="525"/>
      <c r="ETL2" s="525"/>
      <c r="ETM2" s="525"/>
      <c r="ETN2" s="525"/>
      <c r="ETO2" s="525"/>
      <c r="ETP2" s="525"/>
      <c r="ETQ2" s="525"/>
      <c r="ETR2" s="525"/>
      <c r="ETS2" s="525"/>
      <c r="ETT2" s="525"/>
      <c r="ETU2" s="525"/>
      <c r="ETV2" s="525"/>
      <c r="ETW2" s="525"/>
      <c r="ETX2" s="525"/>
      <c r="ETY2" s="525"/>
      <c r="ETZ2" s="525"/>
      <c r="EUA2" s="525"/>
      <c r="EUB2" s="525"/>
      <c r="EUC2" s="525"/>
      <c r="EUD2" s="525"/>
      <c r="EUE2" s="525"/>
      <c r="EUF2" s="525"/>
      <c r="EUG2" s="525"/>
      <c r="EUH2" s="525"/>
      <c r="EUI2" s="525"/>
      <c r="EUJ2" s="525"/>
      <c r="EUK2" s="525"/>
      <c r="EUL2" s="525"/>
      <c r="EUM2" s="525"/>
      <c r="EUN2" s="525"/>
      <c r="EUO2" s="525"/>
      <c r="EUP2" s="525"/>
      <c r="EUQ2" s="525"/>
      <c r="EUR2" s="525"/>
      <c r="EUS2" s="525"/>
      <c r="EUT2" s="525"/>
      <c r="EUU2" s="525"/>
      <c r="EUV2" s="525"/>
      <c r="EUW2" s="525"/>
      <c r="EUX2" s="525"/>
      <c r="EUY2" s="525"/>
      <c r="EUZ2" s="525"/>
      <c r="EVA2" s="525"/>
      <c r="EVB2" s="525"/>
      <c r="EVC2" s="525"/>
      <c r="EVD2" s="525"/>
      <c r="EVE2" s="525"/>
      <c r="EVF2" s="525"/>
      <c r="EVG2" s="525"/>
      <c r="EVH2" s="525"/>
      <c r="EVI2" s="525"/>
      <c r="EVJ2" s="525"/>
      <c r="EVK2" s="525"/>
      <c r="EVL2" s="525"/>
      <c r="EVM2" s="525"/>
      <c r="EVN2" s="525"/>
      <c r="EVO2" s="525"/>
      <c r="EVP2" s="525"/>
      <c r="EVQ2" s="525"/>
      <c r="EVR2" s="525"/>
      <c r="EVS2" s="525"/>
      <c r="EVT2" s="525"/>
      <c r="EVU2" s="525"/>
      <c r="EVV2" s="525"/>
      <c r="EVW2" s="525"/>
      <c r="EVX2" s="525"/>
      <c r="EVY2" s="525"/>
      <c r="EVZ2" s="525"/>
      <c r="EWA2" s="525"/>
      <c r="EWB2" s="525"/>
      <c r="EWC2" s="525"/>
      <c r="EWD2" s="525"/>
      <c r="EWE2" s="525"/>
      <c r="EWF2" s="525"/>
      <c r="EWG2" s="525"/>
      <c r="EWH2" s="525"/>
      <c r="EWI2" s="525"/>
      <c r="EWJ2" s="525"/>
      <c r="EWK2" s="525"/>
      <c r="EWL2" s="525"/>
      <c r="EWM2" s="525"/>
      <c r="EWN2" s="525"/>
      <c r="EWO2" s="525"/>
      <c r="EWP2" s="525"/>
      <c r="EWQ2" s="525"/>
      <c r="EWR2" s="525"/>
      <c r="EWS2" s="525"/>
      <c r="EWT2" s="525"/>
      <c r="EWU2" s="525"/>
      <c r="EWV2" s="525"/>
      <c r="EWW2" s="525"/>
      <c r="EWX2" s="525"/>
      <c r="EWY2" s="525"/>
      <c r="EWZ2" s="525"/>
      <c r="EXA2" s="525"/>
      <c r="EXB2" s="525"/>
      <c r="EXC2" s="525"/>
      <c r="EXD2" s="525"/>
      <c r="EXE2" s="525"/>
      <c r="EXF2" s="525"/>
      <c r="EXG2" s="525"/>
      <c r="EXH2" s="525"/>
      <c r="EXI2" s="525"/>
      <c r="EXJ2" s="525"/>
      <c r="EXK2" s="525"/>
      <c r="EXL2" s="525"/>
      <c r="EXM2" s="525"/>
      <c r="EXN2" s="525"/>
      <c r="EXO2" s="525"/>
      <c r="EXP2" s="525"/>
      <c r="EXQ2" s="525"/>
      <c r="EXR2" s="525"/>
      <c r="EXS2" s="525"/>
      <c r="EXT2" s="525"/>
      <c r="EXU2" s="525"/>
      <c r="EXV2" s="525"/>
      <c r="EXW2" s="525"/>
      <c r="EXX2" s="525"/>
      <c r="EXY2" s="525"/>
      <c r="EXZ2" s="525"/>
      <c r="EYA2" s="525"/>
      <c r="EYB2" s="525"/>
      <c r="EYC2" s="525"/>
      <c r="EYD2" s="525"/>
      <c r="EYE2" s="525"/>
      <c r="EYF2" s="525"/>
      <c r="EYG2" s="525"/>
      <c r="EYH2" s="525"/>
      <c r="EYI2" s="525"/>
      <c r="EYJ2" s="525"/>
      <c r="EYK2" s="525"/>
      <c r="EYL2" s="525"/>
      <c r="EYM2" s="525"/>
      <c r="EYN2" s="525"/>
      <c r="EYO2" s="525"/>
      <c r="EYP2" s="525"/>
      <c r="EYQ2" s="525"/>
      <c r="EYR2" s="525"/>
      <c r="EYS2" s="525"/>
      <c r="EYT2" s="525"/>
      <c r="EYU2" s="525"/>
      <c r="EYV2" s="525"/>
      <c r="EYW2" s="525"/>
      <c r="EYX2" s="525"/>
      <c r="EYY2" s="525"/>
      <c r="EYZ2" s="525"/>
      <c r="EZA2" s="525"/>
      <c r="EZB2" s="525"/>
      <c r="EZC2" s="525"/>
      <c r="EZD2" s="525"/>
      <c r="EZE2" s="525"/>
      <c r="EZF2" s="525"/>
      <c r="EZG2" s="525"/>
      <c r="EZH2" s="525"/>
      <c r="EZI2" s="525"/>
      <c r="EZJ2" s="525"/>
      <c r="EZK2" s="525"/>
      <c r="EZL2" s="525"/>
      <c r="EZM2" s="525"/>
      <c r="EZN2" s="525"/>
      <c r="EZO2" s="525"/>
      <c r="EZP2" s="525"/>
      <c r="EZQ2" s="525"/>
      <c r="EZR2" s="525"/>
      <c r="EZS2" s="525"/>
      <c r="EZT2" s="525"/>
      <c r="EZU2" s="525"/>
      <c r="EZV2" s="525"/>
      <c r="EZW2" s="525"/>
      <c r="EZX2" s="525"/>
      <c r="EZY2" s="525"/>
      <c r="EZZ2" s="525"/>
      <c r="FAA2" s="525"/>
      <c r="FAB2" s="525"/>
      <c r="FAC2" s="525"/>
      <c r="FAD2" s="525"/>
      <c r="FAE2" s="525"/>
      <c r="FAF2" s="525"/>
      <c r="FAG2" s="525"/>
      <c r="FAH2" s="525"/>
      <c r="FAI2" s="525"/>
      <c r="FAJ2" s="525"/>
      <c r="FAK2" s="525"/>
      <c r="FAL2" s="525"/>
      <c r="FAM2" s="525"/>
      <c r="FAN2" s="525"/>
      <c r="FAO2" s="525"/>
      <c r="FAP2" s="525"/>
      <c r="FAQ2" s="525"/>
      <c r="FAR2" s="525"/>
      <c r="FAS2" s="525"/>
      <c r="FAT2" s="525"/>
      <c r="FAU2" s="525"/>
      <c r="FAV2" s="525"/>
      <c r="FAW2" s="525"/>
      <c r="FAX2" s="525"/>
      <c r="FAY2" s="525"/>
      <c r="FAZ2" s="525"/>
      <c r="FBA2" s="525"/>
      <c r="FBB2" s="525"/>
      <c r="FBC2" s="525"/>
      <c r="FBD2" s="525"/>
      <c r="FBE2" s="525"/>
      <c r="FBF2" s="525"/>
      <c r="FBG2" s="525"/>
      <c r="FBH2" s="525"/>
      <c r="FBI2" s="525"/>
      <c r="FBJ2" s="525"/>
      <c r="FBK2" s="525"/>
      <c r="FBL2" s="525"/>
      <c r="FBM2" s="525"/>
      <c r="FBN2" s="525"/>
      <c r="FBO2" s="525"/>
      <c r="FBP2" s="525"/>
      <c r="FBQ2" s="525"/>
      <c r="FBR2" s="525"/>
      <c r="FBS2" s="525"/>
      <c r="FBT2" s="525"/>
      <c r="FBU2" s="525"/>
      <c r="FBV2" s="525"/>
      <c r="FBW2" s="525"/>
      <c r="FBX2" s="525"/>
      <c r="FBY2" s="525"/>
      <c r="FBZ2" s="525"/>
      <c r="FCA2" s="525"/>
      <c r="FCB2" s="525"/>
      <c r="FCC2" s="525"/>
      <c r="FCD2" s="525"/>
      <c r="FCE2" s="525"/>
      <c r="FCF2" s="525"/>
      <c r="FCG2" s="525"/>
      <c r="FCH2" s="525"/>
      <c r="FCI2" s="525"/>
      <c r="FCJ2" s="525"/>
      <c r="FCK2" s="525"/>
      <c r="FCL2" s="525"/>
      <c r="FCM2" s="525"/>
      <c r="FCN2" s="525"/>
      <c r="FCO2" s="525"/>
      <c r="FCP2" s="525"/>
      <c r="FCQ2" s="525"/>
      <c r="FCR2" s="525"/>
      <c r="FCS2" s="525"/>
      <c r="FCT2" s="525"/>
      <c r="FCU2" s="525"/>
      <c r="FCV2" s="525"/>
      <c r="FCW2" s="525"/>
      <c r="FCX2" s="525"/>
      <c r="FCY2" s="525"/>
      <c r="FCZ2" s="525"/>
      <c r="FDA2" s="525"/>
      <c r="FDB2" s="525"/>
      <c r="FDC2" s="525"/>
      <c r="FDD2" s="525"/>
      <c r="FDE2" s="525"/>
      <c r="FDF2" s="525"/>
      <c r="FDG2" s="525"/>
      <c r="FDH2" s="525"/>
      <c r="FDI2" s="525"/>
      <c r="FDJ2" s="525"/>
      <c r="FDK2" s="525"/>
      <c r="FDL2" s="525"/>
      <c r="FDM2" s="525"/>
      <c r="FDN2" s="525"/>
      <c r="FDO2" s="525"/>
      <c r="FDP2" s="525"/>
      <c r="FDQ2" s="525"/>
      <c r="FDR2" s="525"/>
      <c r="FDS2" s="525"/>
      <c r="FDT2" s="525"/>
      <c r="FDU2" s="525"/>
      <c r="FDV2" s="525"/>
      <c r="FDW2" s="525"/>
      <c r="FDX2" s="525"/>
      <c r="FDY2" s="525"/>
      <c r="FDZ2" s="525"/>
      <c r="FEA2" s="525"/>
      <c r="FEB2" s="525"/>
      <c r="FEC2" s="525"/>
      <c r="FED2" s="525"/>
      <c r="FEE2" s="525"/>
      <c r="FEF2" s="525"/>
      <c r="FEG2" s="525"/>
      <c r="FEH2" s="525"/>
      <c r="FEI2" s="525"/>
      <c r="FEJ2" s="525"/>
      <c r="FEK2" s="525"/>
      <c r="FEL2" s="525"/>
      <c r="FEM2" s="525"/>
      <c r="FEN2" s="525"/>
      <c r="FEO2" s="525"/>
      <c r="FEP2" s="525"/>
      <c r="FEQ2" s="525"/>
      <c r="FER2" s="525"/>
      <c r="FES2" s="525"/>
      <c r="FET2" s="525"/>
      <c r="FEU2" s="525"/>
      <c r="FEV2" s="525"/>
      <c r="FEW2" s="525"/>
      <c r="FEX2" s="525"/>
      <c r="FEY2" s="525"/>
      <c r="FEZ2" s="525"/>
      <c r="FFA2" s="525"/>
      <c r="FFB2" s="525"/>
      <c r="FFC2" s="525"/>
      <c r="FFD2" s="525"/>
      <c r="FFE2" s="525"/>
      <c r="FFF2" s="525"/>
      <c r="FFG2" s="525"/>
      <c r="FFH2" s="525"/>
      <c r="FFI2" s="525"/>
      <c r="FFJ2" s="525"/>
      <c r="FFK2" s="525"/>
      <c r="FFL2" s="525"/>
      <c r="FFM2" s="525"/>
      <c r="FFN2" s="525"/>
      <c r="FFO2" s="525"/>
      <c r="FFP2" s="525"/>
      <c r="FFQ2" s="525"/>
      <c r="FFR2" s="525"/>
      <c r="FFS2" s="525"/>
      <c r="FFT2" s="525"/>
      <c r="FFU2" s="525"/>
      <c r="FFV2" s="525"/>
      <c r="FFW2" s="525"/>
      <c r="FFX2" s="525"/>
      <c r="FFY2" s="525"/>
      <c r="FFZ2" s="525"/>
      <c r="FGA2" s="525"/>
      <c r="FGB2" s="525"/>
      <c r="FGC2" s="525"/>
      <c r="FGD2" s="525"/>
      <c r="FGE2" s="525"/>
      <c r="FGF2" s="525"/>
      <c r="FGG2" s="525"/>
      <c r="FGH2" s="525"/>
      <c r="FGI2" s="525"/>
      <c r="FGJ2" s="525"/>
      <c r="FGK2" s="525"/>
      <c r="FGL2" s="525"/>
      <c r="FGM2" s="525"/>
      <c r="FGN2" s="525"/>
      <c r="FGO2" s="525"/>
      <c r="FGP2" s="525"/>
      <c r="FGQ2" s="525"/>
      <c r="FGR2" s="525"/>
      <c r="FGS2" s="525"/>
      <c r="FGT2" s="525"/>
      <c r="FGU2" s="525"/>
      <c r="FGV2" s="525"/>
      <c r="FGW2" s="525"/>
      <c r="FGX2" s="525"/>
      <c r="FGY2" s="525"/>
      <c r="FGZ2" s="525"/>
      <c r="FHA2" s="525"/>
      <c r="FHB2" s="525"/>
      <c r="FHC2" s="525"/>
      <c r="FHD2" s="525"/>
      <c r="FHE2" s="525"/>
      <c r="FHF2" s="525"/>
      <c r="FHG2" s="525"/>
      <c r="FHH2" s="525"/>
      <c r="FHI2" s="525"/>
      <c r="FHJ2" s="525"/>
      <c r="FHK2" s="525"/>
      <c r="FHL2" s="525"/>
      <c r="FHM2" s="525"/>
      <c r="FHN2" s="525"/>
      <c r="FHO2" s="525"/>
      <c r="FHP2" s="525"/>
      <c r="FHQ2" s="525"/>
      <c r="FHR2" s="525"/>
      <c r="FHS2" s="525"/>
      <c r="FHT2" s="525"/>
      <c r="FHU2" s="525"/>
      <c r="FHV2" s="525"/>
      <c r="FHW2" s="525"/>
      <c r="FHX2" s="525"/>
      <c r="FHY2" s="525"/>
      <c r="FHZ2" s="525"/>
      <c r="FIA2" s="525"/>
      <c r="FIB2" s="525"/>
      <c r="FIC2" s="525"/>
      <c r="FID2" s="525"/>
      <c r="FIE2" s="525"/>
      <c r="FIF2" s="525"/>
      <c r="FIG2" s="525"/>
      <c r="FIH2" s="525"/>
      <c r="FII2" s="525"/>
      <c r="FIJ2" s="525"/>
      <c r="FIK2" s="525"/>
      <c r="FIL2" s="525"/>
      <c r="FIM2" s="525"/>
      <c r="FIN2" s="525"/>
      <c r="FIO2" s="525"/>
      <c r="FIP2" s="525"/>
      <c r="FIQ2" s="525"/>
      <c r="FIR2" s="525"/>
      <c r="FIS2" s="525"/>
      <c r="FIT2" s="525"/>
      <c r="FIU2" s="525"/>
      <c r="FIV2" s="525"/>
      <c r="FIW2" s="525"/>
      <c r="FIX2" s="525"/>
      <c r="FIY2" s="525"/>
      <c r="FIZ2" s="525"/>
      <c r="FJA2" s="525"/>
      <c r="FJB2" s="525"/>
      <c r="FJC2" s="525"/>
      <c r="FJD2" s="525"/>
      <c r="FJE2" s="525"/>
      <c r="FJF2" s="525"/>
      <c r="FJG2" s="525"/>
      <c r="FJH2" s="525"/>
      <c r="FJI2" s="525"/>
      <c r="FJJ2" s="525"/>
      <c r="FJK2" s="525"/>
      <c r="FJL2" s="525"/>
      <c r="FJM2" s="525"/>
      <c r="FJN2" s="525"/>
      <c r="FJO2" s="525"/>
      <c r="FJP2" s="525"/>
      <c r="FJQ2" s="525"/>
      <c r="FJR2" s="525"/>
      <c r="FJS2" s="525"/>
      <c r="FJT2" s="525"/>
      <c r="FJU2" s="525"/>
      <c r="FJV2" s="525"/>
      <c r="FJW2" s="525"/>
      <c r="FJX2" s="525"/>
      <c r="FJY2" s="525"/>
      <c r="FJZ2" s="525"/>
      <c r="FKA2" s="525"/>
      <c r="FKB2" s="525"/>
      <c r="FKC2" s="525"/>
      <c r="FKD2" s="525"/>
      <c r="FKE2" s="525"/>
      <c r="FKF2" s="525"/>
      <c r="FKG2" s="525"/>
      <c r="FKH2" s="525"/>
      <c r="FKI2" s="525"/>
      <c r="FKJ2" s="525"/>
      <c r="FKK2" s="525"/>
      <c r="FKL2" s="525"/>
      <c r="FKM2" s="525"/>
      <c r="FKN2" s="525"/>
      <c r="FKO2" s="525"/>
      <c r="FKP2" s="525"/>
      <c r="FKQ2" s="525"/>
      <c r="FKR2" s="525"/>
      <c r="FKS2" s="525"/>
      <c r="FKT2" s="525"/>
      <c r="FKU2" s="525"/>
      <c r="FKV2" s="525"/>
      <c r="FKW2" s="525"/>
      <c r="FKX2" s="525"/>
      <c r="FKY2" s="525"/>
      <c r="FKZ2" s="525"/>
      <c r="FLA2" s="525"/>
      <c r="FLB2" s="525"/>
      <c r="FLC2" s="525"/>
      <c r="FLD2" s="525"/>
      <c r="FLE2" s="525"/>
      <c r="FLF2" s="525"/>
      <c r="FLG2" s="525"/>
      <c r="FLH2" s="525"/>
      <c r="FLI2" s="525"/>
      <c r="FLJ2" s="525"/>
      <c r="FLK2" s="525"/>
      <c r="FLL2" s="525"/>
      <c r="FLM2" s="525"/>
      <c r="FLN2" s="525"/>
      <c r="FLO2" s="525"/>
      <c r="FLP2" s="525"/>
      <c r="FLQ2" s="525"/>
      <c r="FLR2" s="525"/>
      <c r="FLS2" s="525"/>
      <c r="FLT2" s="525"/>
      <c r="FLU2" s="525"/>
      <c r="FLV2" s="525"/>
      <c r="FLW2" s="525"/>
      <c r="FLX2" s="525"/>
      <c r="FLY2" s="525"/>
      <c r="FLZ2" s="525"/>
      <c r="FMA2" s="525"/>
      <c r="FMB2" s="525"/>
      <c r="FMC2" s="525"/>
      <c r="FMD2" s="525"/>
      <c r="FME2" s="525"/>
      <c r="FMF2" s="525"/>
      <c r="FMG2" s="525"/>
      <c r="FMH2" s="525"/>
      <c r="FMI2" s="525"/>
      <c r="FMJ2" s="525"/>
      <c r="FMK2" s="525"/>
      <c r="FML2" s="525"/>
      <c r="FMM2" s="525"/>
      <c r="FMN2" s="525"/>
      <c r="FMO2" s="525"/>
      <c r="FMP2" s="525"/>
      <c r="FMQ2" s="525"/>
      <c r="FMR2" s="525"/>
      <c r="FMS2" s="525"/>
      <c r="FMT2" s="525"/>
      <c r="FMU2" s="525"/>
      <c r="FMV2" s="525"/>
      <c r="FMW2" s="525"/>
      <c r="FMX2" s="525"/>
      <c r="FMY2" s="525"/>
      <c r="FMZ2" s="525"/>
      <c r="FNA2" s="525"/>
      <c r="FNB2" s="525"/>
      <c r="FNC2" s="525"/>
      <c r="FND2" s="525"/>
      <c r="FNE2" s="525"/>
      <c r="FNF2" s="525"/>
      <c r="FNG2" s="525"/>
      <c r="FNH2" s="525"/>
      <c r="FNI2" s="525"/>
      <c r="FNJ2" s="525"/>
      <c r="FNK2" s="525"/>
      <c r="FNL2" s="525"/>
      <c r="FNM2" s="525"/>
      <c r="FNN2" s="525"/>
      <c r="FNO2" s="525"/>
      <c r="FNP2" s="525"/>
      <c r="FNQ2" s="525"/>
      <c r="FNR2" s="525"/>
      <c r="FNS2" s="525"/>
      <c r="FNT2" s="525"/>
      <c r="FNU2" s="525"/>
      <c r="FNV2" s="525"/>
      <c r="FNW2" s="525"/>
      <c r="FNX2" s="525"/>
      <c r="FNY2" s="525"/>
      <c r="FNZ2" s="525"/>
      <c r="FOA2" s="525"/>
      <c r="FOB2" s="525"/>
      <c r="FOC2" s="525"/>
      <c r="FOD2" s="525"/>
      <c r="FOE2" s="525"/>
      <c r="FOF2" s="525"/>
      <c r="FOG2" s="525"/>
      <c r="FOH2" s="525"/>
      <c r="FOI2" s="525"/>
      <c r="FOJ2" s="525"/>
      <c r="FOK2" s="525"/>
      <c r="FOL2" s="525"/>
      <c r="FOM2" s="525"/>
      <c r="FON2" s="525"/>
      <c r="FOO2" s="525"/>
      <c r="FOP2" s="525"/>
      <c r="FOQ2" s="525"/>
      <c r="FOR2" s="525"/>
      <c r="FOS2" s="525"/>
      <c r="FOT2" s="525"/>
      <c r="FOU2" s="525"/>
      <c r="FOV2" s="525"/>
      <c r="FOW2" s="525"/>
      <c r="FOX2" s="525"/>
      <c r="FOY2" s="525"/>
      <c r="FOZ2" s="525"/>
      <c r="FPA2" s="525"/>
      <c r="FPB2" s="525"/>
      <c r="FPC2" s="525"/>
      <c r="FPD2" s="525"/>
      <c r="FPE2" s="525"/>
      <c r="FPF2" s="525"/>
      <c r="FPG2" s="525"/>
      <c r="FPH2" s="525"/>
      <c r="FPI2" s="525"/>
      <c r="FPJ2" s="525"/>
      <c r="FPK2" s="525"/>
      <c r="FPL2" s="525"/>
      <c r="FPM2" s="525"/>
      <c r="FPN2" s="525"/>
      <c r="FPO2" s="525"/>
      <c r="FPP2" s="525"/>
      <c r="FPQ2" s="525"/>
      <c r="FPR2" s="525"/>
      <c r="FPS2" s="525"/>
      <c r="FPT2" s="525"/>
      <c r="FPU2" s="525"/>
      <c r="FPV2" s="525"/>
      <c r="FPW2" s="525"/>
      <c r="FPX2" s="525"/>
      <c r="FPY2" s="525"/>
      <c r="FPZ2" s="525"/>
      <c r="FQA2" s="525"/>
      <c r="FQB2" s="525"/>
      <c r="FQC2" s="525"/>
      <c r="FQD2" s="525"/>
      <c r="FQE2" s="525"/>
      <c r="FQF2" s="525"/>
      <c r="FQG2" s="525"/>
      <c r="FQH2" s="525"/>
      <c r="FQI2" s="525"/>
      <c r="FQJ2" s="525"/>
      <c r="FQK2" s="525"/>
      <c r="FQL2" s="525"/>
      <c r="FQM2" s="525"/>
      <c r="FQN2" s="525"/>
      <c r="FQO2" s="525"/>
      <c r="FQP2" s="525"/>
      <c r="FQQ2" s="525"/>
      <c r="FQR2" s="525"/>
      <c r="FQS2" s="525"/>
      <c r="FQT2" s="525"/>
      <c r="FQU2" s="525"/>
      <c r="FQV2" s="525"/>
      <c r="FQW2" s="525"/>
      <c r="FQX2" s="525"/>
      <c r="FQY2" s="525"/>
      <c r="FQZ2" s="525"/>
      <c r="FRA2" s="525"/>
      <c r="FRB2" s="525"/>
      <c r="FRC2" s="525"/>
      <c r="FRD2" s="525"/>
      <c r="FRE2" s="525"/>
      <c r="FRF2" s="525"/>
      <c r="FRG2" s="525"/>
      <c r="FRH2" s="525"/>
      <c r="FRI2" s="525"/>
      <c r="FRJ2" s="525"/>
      <c r="FRK2" s="525"/>
      <c r="FRL2" s="525"/>
      <c r="FRM2" s="525"/>
      <c r="FRN2" s="525"/>
      <c r="FRO2" s="525"/>
      <c r="FRP2" s="525"/>
      <c r="FRQ2" s="525"/>
      <c r="FRR2" s="525"/>
      <c r="FRS2" s="525"/>
      <c r="FRT2" s="525"/>
      <c r="FRU2" s="525"/>
      <c r="FRV2" s="525"/>
      <c r="FRW2" s="525"/>
      <c r="FRX2" s="525"/>
      <c r="FRY2" s="525"/>
      <c r="FRZ2" s="525"/>
      <c r="FSA2" s="525"/>
      <c r="FSB2" s="525"/>
      <c r="FSC2" s="525"/>
      <c r="FSD2" s="525"/>
      <c r="FSE2" s="525"/>
      <c r="FSF2" s="525"/>
      <c r="FSG2" s="525"/>
      <c r="FSH2" s="525"/>
      <c r="FSI2" s="525"/>
      <c r="FSJ2" s="525"/>
      <c r="FSK2" s="525"/>
      <c r="FSL2" s="525"/>
      <c r="FSM2" s="525"/>
      <c r="FSN2" s="525"/>
      <c r="FSO2" s="525"/>
      <c r="FSP2" s="525"/>
      <c r="FSQ2" s="525"/>
      <c r="FSR2" s="525"/>
      <c r="FSS2" s="525"/>
      <c r="FST2" s="525"/>
      <c r="FSU2" s="525"/>
      <c r="FSV2" s="525"/>
      <c r="FSW2" s="525"/>
      <c r="FSX2" s="525"/>
      <c r="FSY2" s="525"/>
      <c r="FSZ2" s="525"/>
      <c r="FTA2" s="525"/>
      <c r="FTB2" s="525"/>
      <c r="FTC2" s="525"/>
      <c r="FTD2" s="525"/>
      <c r="FTE2" s="525"/>
      <c r="FTF2" s="525"/>
      <c r="FTG2" s="525"/>
      <c r="FTH2" s="525"/>
      <c r="FTI2" s="525"/>
      <c r="FTJ2" s="525"/>
      <c r="FTK2" s="525"/>
      <c r="FTL2" s="525"/>
      <c r="FTM2" s="525"/>
      <c r="FTN2" s="525"/>
      <c r="FTO2" s="525"/>
      <c r="FTP2" s="525"/>
      <c r="FTQ2" s="525"/>
      <c r="FTR2" s="525"/>
      <c r="FTS2" s="525"/>
      <c r="FTT2" s="525"/>
      <c r="FTU2" s="525"/>
      <c r="FTV2" s="525"/>
      <c r="FTW2" s="525"/>
      <c r="FTX2" s="525"/>
      <c r="FTY2" s="525"/>
      <c r="FTZ2" s="525"/>
      <c r="FUA2" s="525"/>
      <c r="FUB2" s="525"/>
      <c r="FUC2" s="525"/>
      <c r="FUD2" s="525"/>
      <c r="FUE2" s="525"/>
      <c r="FUF2" s="525"/>
      <c r="FUG2" s="525"/>
      <c r="FUH2" s="525"/>
      <c r="FUI2" s="525"/>
      <c r="FUJ2" s="525"/>
      <c r="FUK2" s="525"/>
      <c r="FUL2" s="525"/>
      <c r="FUM2" s="525"/>
      <c r="FUN2" s="525"/>
      <c r="FUO2" s="525"/>
      <c r="FUP2" s="525"/>
      <c r="FUQ2" s="525"/>
      <c r="FUR2" s="525"/>
      <c r="FUS2" s="525"/>
      <c r="FUT2" s="525"/>
      <c r="FUU2" s="525"/>
      <c r="FUV2" s="525"/>
      <c r="FUW2" s="525"/>
      <c r="FUX2" s="525"/>
      <c r="FUY2" s="525"/>
      <c r="FUZ2" s="525"/>
      <c r="FVA2" s="525"/>
      <c r="FVB2" s="525"/>
      <c r="FVC2" s="525"/>
      <c r="FVD2" s="525"/>
      <c r="FVE2" s="525"/>
      <c r="FVF2" s="525"/>
      <c r="FVG2" s="525"/>
      <c r="FVH2" s="525"/>
      <c r="FVI2" s="525"/>
      <c r="FVJ2" s="525"/>
      <c r="FVK2" s="525"/>
      <c r="FVL2" s="525"/>
      <c r="FVM2" s="525"/>
      <c r="FVN2" s="525"/>
      <c r="FVO2" s="525"/>
      <c r="FVP2" s="525"/>
      <c r="FVQ2" s="525"/>
      <c r="FVR2" s="525"/>
      <c r="FVS2" s="525"/>
      <c r="FVT2" s="525"/>
      <c r="FVU2" s="525"/>
      <c r="FVV2" s="525"/>
      <c r="FVW2" s="525"/>
      <c r="FVX2" s="525"/>
      <c r="FVY2" s="525"/>
      <c r="FVZ2" s="525"/>
      <c r="FWA2" s="525"/>
      <c r="FWB2" s="525"/>
      <c r="FWC2" s="525"/>
      <c r="FWD2" s="525"/>
      <c r="FWE2" s="525"/>
      <c r="FWF2" s="525"/>
      <c r="FWG2" s="525"/>
      <c r="FWH2" s="525"/>
      <c r="FWI2" s="525"/>
      <c r="FWJ2" s="525"/>
      <c r="FWK2" s="525"/>
      <c r="FWL2" s="525"/>
      <c r="FWM2" s="525"/>
      <c r="FWN2" s="525"/>
      <c r="FWO2" s="525"/>
      <c r="FWP2" s="525"/>
      <c r="FWQ2" s="525"/>
      <c r="FWR2" s="525"/>
      <c r="FWS2" s="525"/>
      <c r="FWT2" s="525"/>
      <c r="FWU2" s="525"/>
      <c r="FWV2" s="525"/>
      <c r="FWW2" s="525"/>
      <c r="FWX2" s="525"/>
      <c r="FWY2" s="525"/>
      <c r="FWZ2" s="525"/>
      <c r="FXA2" s="525"/>
      <c r="FXB2" s="525"/>
      <c r="FXC2" s="525"/>
      <c r="FXD2" s="525"/>
      <c r="FXE2" s="525"/>
      <c r="FXF2" s="525"/>
      <c r="FXG2" s="525"/>
      <c r="FXH2" s="525"/>
      <c r="FXI2" s="525"/>
      <c r="FXJ2" s="525"/>
      <c r="FXK2" s="525"/>
      <c r="FXL2" s="525"/>
      <c r="FXM2" s="525"/>
      <c r="FXN2" s="525"/>
      <c r="FXO2" s="525"/>
      <c r="FXP2" s="525"/>
      <c r="FXQ2" s="525"/>
      <c r="FXR2" s="525"/>
      <c r="FXS2" s="525"/>
      <c r="FXT2" s="525"/>
      <c r="FXU2" s="525"/>
      <c r="FXV2" s="525"/>
      <c r="FXW2" s="525"/>
      <c r="FXX2" s="525"/>
      <c r="FXY2" s="525"/>
      <c r="FXZ2" s="525"/>
      <c r="FYA2" s="525"/>
      <c r="FYB2" s="525"/>
      <c r="FYC2" s="525"/>
      <c r="FYD2" s="525"/>
      <c r="FYE2" s="525"/>
      <c r="FYF2" s="525"/>
      <c r="FYG2" s="525"/>
      <c r="FYH2" s="525"/>
      <c r="FYI2" s="525"/>
      <c r="FYJ2" s="525"/>
      <c r="FYK2" s="525"/>
      <c r="FYL2" s="525"/>
      <c r="FYM2" s="525"/>
      <c r="FYN2" s="525"/>
      <c r="FYO2" s="525"/>
      <c r="FYP2" s="525"/>
      <c r="FYQ2" s="525"/>
      <c r="FYR2" s="525"/>
      <c r="FYS2" s="525"/>
      <c r="FYT2" s="525"/>
      <c r="FYU2" s="525"/>
      <c r="FYV2" s="525"/>
      <c r="FYW2" s="525"/>
      <c r="FYX2" s="525"/>
      <c r="FYY2" s="525"/>
      <c r="FYZ2" s="525"/>
      <c r="FZA2" s="525"/>
      <c r="FZB2" s="525"/>
      <c r="FZC2" s="525"/>
      <c r="FZD2" s="525"/>
      <c r="FZE2" s="525"/>
      <c r="FZF2" s="525"/>
      <c r="FZG2" s="525"/>
      <c r="FZH2" s="525"/>
      <c r="FZI2" s="525"/>
      <c r="FZJ2" s="525"/>
      <c r="FZK2" s="525"/>
      <c r="FZL2" s="525"/>
      <c r="FZM2" s="525"/>
      <c r="FZN2" s="525"/>
      <c r="FZO2" s="525"/>
      <c r="FZP2" s="525"/>
      <c r="FZQ2" s="525"/>
      <c r="FZR2" s="525"/>
      <c r="FZS2" s="525"/>
      <c r="FZT2" s="525"/>
      <c r="FZU2" s="525"/>
      <c r="FZV2" s="525"/>
      <c r="FZW2" s="525"/>
      <c r="FZX2" s="525"/>
      <c r="FZY2" s="525"/>
      <c r="FZZ2" s="525"/>
      <c r="GAA2" s="525"/>
      <c r="GAB2" s="525"/>
      <c r="GAC2" s="525"/>
      <c r="GAD2" s="525"/>
      <c r="GAE2" s="525"/>
      <c r="GAF2" s="525"/>
      <c r="GAG2" s="525"/>
      <c r="GAH2" s="525"/>
      <c r="GAI2" s="525"/>
      <c r="GAJ2" s="525"/>
      <c r="GAK2" s="525"/>
      <c r="GAL2" s="525"/>
      <c r="GAM2" s="525"/>
      <c r="GAN2" s="525"/>
      <c r="GAO2" s="525"/>
      <c r="GAP2" s="525"/>
      <c r="GAQ2" s="525"/>
      <c r="GAR2" s="525"/>
      <c r="GAS2" s="525"/>
      <c r="GAT2" s="525"/>
      <c r="GAU2" s="525"/>
      <c r="GAV2" s="525"/>
      <c r="GAW2" s="525"/>
      <c r="GAX2" s="525"/>
      <c r="GAY2" s="525"/>
      <c r="GAZ2" s="525"/>
      <c r="GBA2" s="525"/>
      <c r="GBB2" s="525"/>
      <c r="GBC2" s="525"/>
      <c r="GBD2" s="525"/>
      <c r="GBE2" s="525"/>
      <c r="GBF2" s="525"/>
      <c r="GBG2" s="525"/>
      <c r="GBH2" s="525"/>
      <c r="GBI2" s="525"/>
      <c r="GBJ2" s="525"/>
      <c r="GBK2" s="525"/>
      <c r="GBL2" s="525"/>
      <c r="GBM2" s="525"/>
      <c r="GBN2" s="525"/>
      <c r="GBO2" s="525"/>
      <c r="GBP2" s="525"/>
      <c r="GBQ2" s="525"/>
      <c r="GBR2" s="525"/>
      <c r="GBS2" s="525"/>
      <c r="GBT2" s="525"/>
      <c r="GBU2" s="525"/>
      <c r="GBV2" s="525"/>
      <c r="GBW2" s="525"/>
      <c r="GBX2" s="525"/>
      <c r="GBY2" s="525"/>
      <c r="GBZ2" s="525"/>
      <c r="GCA2" s="525"/>
      <c r="GCB2" s="525"/>
      <c r="GCC2" s="525"/>
      <c r="GCD2" s="525"/>
      <c r="GCE2" s="525"/>
      <c r="GCF2" s="525"/>
      <c r="GCG2" s="525"/>
      <c r="GCH2" s="525"/>
      <c r="GCI2" s="525"/>
      <c r="GCJ2" s="525"/>
      <c r="GCK2" s="525"/>
      <c r="GCL2" s="525"/>
      <c r="GCM2" s="525"/>
      <c r="GCN2" s="525"/>
      <c r="GCO2" s="525"/>
      <c r="GCP2" s="525"/>
      <c r="GCQ2" s="525"/>
      <c r="GCR2" s="525"/>
      <c r="GCS2" s="525"/>
      <c r="GCT2" s="525"/>
      <c r="GCU2" s="525"/>
      <c r="GCV2" s="525"/>
      <c r="GCW2" s="525"/>
      <c r="GCX2" s="525"/>
      <c r="GCY2" s="525"/>
      <c r="GCZ2" s="525"/>
      <c r="GDA2" s="525"/>
      <c r="GDB2" s="525"/>
      <c r="GDC2" s="525"/>
      <c r="GDD2" s="525"/>
      <c r="GDE2" s="525"/>
      <c r="GDF2" s="525"/>
      <c r="GDG2" s="525"/>
      <c r="GDH2" s="525"/>
      <c r="GDI2" s="525"/>
      <c r="GDJ2" s="525"/>
      <c r="GDK2" s="525"/>
      <c r="GDL2" s="525"/>
      <c r="GDM2" s="525"/>
      <c r="GDN2" s="525"/>
      <c r="GDO2" s="525"/>
      <c r="GDP2" s="525"/>
      <c r="GDQ2" s="525"/>
      <c r="GDR2" s="525"/>
      <c r="GDS2" s="525"/>
      <c r="GDT2" s="525"/>
      <c r="GDU2" s="525"/>
      <c r="GDV2" s="525"/>
      <c r="GDW2" s="525"/>
      <c r="GDX2" s="525"/>
      <c r="GDY2" s="525"/>
      <c r="GDZ2" s="525"/>
      <c r="GEA2" s="525"/>
      <c r="GEB2" s="525"/>
      <c r="GEC2" s="525"/>
      <c r="GED2" s="525"/>
      <c r="GEE2" s="525"/>
      <c r="GEF2" s="525"/>
      <c r="GEG2" s="525"/>
      <c r="GEH2" s="525"/>
      <c r="GEI2" s="525"/>
      <c r="GEJ2" s="525"/>
      <c r="GEK2" s="525"/>
      <c r="GEL2" s="525"/>
      <c r="GEM2" s="525"/>
      <c r="GEN2" s="525"/>
      <c r="GEO2" s="525"/>
      <c r="GEP2" s="525"/>
      <c r="GEQ2" s="525"/>
      <c r="GER2" s="525"/>
      <c r="GES2" s="525"/>
      <c r="GET2" s="525"/>
      <c r="GEU2" s="525"/>
      <c r="GEV2" s="525"/>
      <c r="GEW2" s="525"/>
      <c r="GEX2" s="525"/>
      <c r="GEY2" s="525"/>
      <c r="GEZ2" s="525"/>
      <c r="GFA2" s="525"/>
      <c r="GFB2" s="525"/>
      <c r="GFC2" s="525"/>
      <c r="GFD2" s="525"/>
      <c r="GFE2" s="525"/>
      <c r="GFF2" s="525"/>
      <c r="GFG2" s="525"/>
      <c r="GFH2" s="525"/>
      <c r="GFI2" s="525"/>
      <c r="GFJ2" s="525"/>
      <c r="GFK2" s="525"/>
      <c r="GFL2" s="525"/>
      <c r="GFM2" s="525"/>
      <c r="GFN2" s="525"/>
      <c r="GFO2" s="525"/>
      <c r="GFP2" s="525"/>
      <c r="GFQ2" s="525"/>
      <c r="GFR2" s="525"/>
      <c r="GFS2" s="525"/>
      <c r="GFT2" s="525"/>
      <c r="GFU2" s="525"/>
      <c r="GFV2" s="525"/>
      <c r="GFW2" s="525"/>
      <c r="GFX2" s="525"/>
      <c r="GFY2" s="525"/>
      <c r="GFZ2" s="525"/>
      <c r="GGA2" s="525"/>
      <c r="GGB2" s="525"/>
      <c r="GGC2" s="525"/>
      <c r="GGD2" s="525"/>
      <c r="GGE2" s="525"/>
      <c r="GGF2" s="525"/>
      <c r="GGG2" s="525"/>
      <c r="GGH2" s="525"/>
      <c r="GGI2" s="525"/>
      <c r="GGJ2" s="525"/>
      <c r="GGK2" s="525"/>
      <c r="GGL2" s="525"/>
      <c r="GGM2" s="525"/>
      <c r="GGN2" s="525"/>
      <c r="GGO2" s="525"/>
      <c r="GGP2" s="525"/>
      <c r="GGQ2" s="525"/>
      <c r="GGR2" s="525"/>
      <c r="GGS2" s="525"/>
      <c r="GGT2" s="525"/>
      <c r="GGU2" s="525"/>
      <c r="GGV2" s="525"/>
      <c r="GGW2" s="525"/>
      <c r="GGX2" s="525"/>
      <c r="GGY2" s="525"/>
      <c r="GGZ2" s="525"/>
      <c r="GHA2" s="525"/>
      <c r="GHB2" s="525"/>
      <c r="GHC2" s="525"/>
      <c r="GHD2" s="525"/>
      <c r="GHE2" s="525"/>
      <c r="GHF2" s="525"/>
      <c r="GHG2" s="525"/>
      <c r="GHH2" s="525"/>
      <c r="GHI2" s="525"/>
      <c r="GHJ2" s="525"/>
      <c r="GHK2" s="525"/>
      <c r="GHL2" s="525"/>
      <c r="GHM2" s="525"/>
      <c r="GHN2" s="525"/>
      <c r="GHO2" s="525"/>
      <c r="GHP2" s="525"/>
      <c r="GHQ2" s="525"/>
      <c r="GHR2" s="525"/>
      <c r="GHS2" s="525"/>
      <c r="GHT2" s="525"/>
      <c r="GHU2" s="525"/>
      <c r="GHV2" s="525"/>
      <c r="GHW2" s="525"/>
      <c r="GHX2" s="525"/>
      <c r="GHY2" s="525"/>
      <c r="GHZ2" s="525"/>
      <c r="GIA2" s="525"/>
      <c r="GIB2" s="525"/>
      <c r="GIC2" s="525"/>
      <c r="GID2" s="525"/>
      <c r="GIE2" s="525"/>
      <c r="GIF2" s="525"/>
      <c r="GIG2" s="525"/>
      <c r="GIH2" s="525"/>
      <c r="GII2" s="525"/>
      <c r="GIJ2" s="525"/>
      <c r="GIK2" s="525"/>
      <c r="GIL2" s="525"/>
      <c r="GIM2" s="525"/>
      <c r="GIN2" s="525"/>
      <c r="GIO2" s="525"/>
      <c r="GIP2" s="525"/>
      <c r="GIQ2" s="525"/>
      <c r="GIR2" s="525"/>
      <c r="GIS2" s="525"/>
      <c r="GIT2" s="525"/>
      <c r="GIU2" s="525"/>
      <c r="GIV2" s="525"/>
      <c r="GIW2" s="525"/>
      <c r="GIX2" s="525"/>
      <c r="GIY2" s="525"/>
      <c r="GIZ2" s="525"/>
      <c r="GJA2" s="525"/>
      <c r="GJB2" s="525"/>
      <c r="GJC2" s="525"/>
      <c r="GJD2" s="525"/>
      <c r="GJE2" s="525"/>
      <c r="GJF2" s="525"/>
      <c r="GJG2" s="525"/>
      <c r="GJH2" s="525"/>
      <c r="GJI2" s="525"/>
      <c r="GJJ2" s="525"/>
      <c r="GJK2" s="525"/>
      <c r="GJL2" s="525"/>
      <c r="GJM2" s="525"/>
      <c r="GJN2" s="525"/>
      <c r="GJO2" s="525"/>
      <c r="GJP2" s="525"/>
      <c r="GJQ2" s="525"/>
      <c r="GJR2" s="525"/>
      <c r="GJS2" s="525"/>
      <c r="GJT2" s="525"/>
      <c r="GJU2" s="525"/>
      <c r="GJV2" s="525"/>
      <c r="GJW2" s="525"/>
      <c r="GJX2" s="525"/>
      <c r="GJY2" s="525"/>
      <c r="GJZ2" s="525"/>
      <c r="GKA2" s="525"/>
      <c r="GKB2" s="525"/>
      <c r="GKC2" s="525"/>
      <c r="GKD2" s="525"/>
      <c r="GKE2" s="525"/>
      <c r="GKF2" s="525"/>
      <c r="GKG2" s="525"/>
      <c r="GKH2" s="525"/>
      <c r="GKI2" s="525"/>
      <c r="GKJ2" s="525"/>
      <c r="GKK2" s="525"/>
      <c r="GKL2" s="525"/>
      <c r="GKM2" s="525"/>
      <c r="GKN2" s="525"/>
      <c r="GKO2" s="525"/>
      <c r="GKP2" s="525"/>
      <c r="GKQ2" s="525"/>
      <c r="GKR2" s="525"/>
      <c r="GKS2" s="525"/>
      <c r="GKT2" s="525"/>
      <c r="GKU2" s="525"/>
      <c r="GKV2" s="525"/>
      <c r="GKW2" s="525"/>
      <c r="GKX2" s="525"/>
      <c r="GKY2" s="525"/>
      <c r="GKZ2" s="525"/>
      <c r="GLA2" s="525"/>
      <c r="GLB2" s="525"/>
      <c r="GLC2" s="525"/>
      <c r="GLD2" s="525"/>
      <c r="GLE2" s="525"/>
      <c r="GLF2" s="525"/>
      <c r="GLG2" s="525"/>
      <c r="GLH2" s="525"/>
      <c r="GLI2" s="525"/>
      <c r="GLJ2" s="525"/>
      <c r="GLK2" s="525"/>
      <c r="GLL2" s="525"/>
      <c r="GLM2" s="525"/>
      <c r="GLN2" s="525"/>
      <c r="GLO2" s="525"/>
      <c r="GLP2" s="525"/>
      <c r="GLQ2" s="525"/>
      <c r="GLR2" s="525"/>
      <c r="GLS2" s="525"/>
      <c r="GLT2" s="525"/>
      <c r="GLU2" s="525"/>
      <c r="GLV2" s="525"/>
      <c r="GLW2" s="525"/>
      <c r="GLX2" s="525"/>
      <c r="GLY2" s="525"/>
      <c r="GLZ2" s="525"/>
      <c r="GMA2" s="525"/>
      <c r="GMB2" s="525"/>
      <c r="GMC2" s="525"/>
      <c r="GMD2" s="525"/>
      <c r="GME2" s="525"/>
      <c r="GMF2" s="525"/>
      <c r="GMG2" s="525"/>
      <c r="GMH2" s="525"/>
      <c r="GMI2" s="525"/>
      <c r="GMJ2" s="525"/>
      <c r="GMK2" s="525"/>
      <c r="GML2" s="525"/>
      <c r="GMM2" s="525"/>
      <c r="GMN2" s="525"/>
      <c r="GMO2" s="525"/>
      <c r="GMP2" s="525"/>
      <c r="GMQ2" s="525"/>
      <c r="GMR2" s="525"/>
      <c r="GMS2" s="525"/>
      <c r="GMT2" s="525"/>
      <c r="GMU2" s="525"/>
      <c r="GMV2" s="525"/>
      <c r="GMW2" s="525"/>
      <c r="GMX2" s="525"/>
      <c r="GMY2" s="525"/>
      <c r="GMZ2" s="525"/>
      <c r="GNA2" s="525"/>
      <c r="GNB2" s="525"/>
      <c r="GNC2" s="525"/>
      <c r="GND2" s="525"/>
      <c r="GNE2" s="525"/>
      <c r="GNF2" s="525"/>
      <c r="GNG2" s="525"/>
      <c r="GNH2" s="525"/>
      <c r="GNI2" s="525"/>
      <c r="GNJ2" s="525"/>
      <c r="GNK2" s="525"/>
      <c r="GNL2" s="525"/>
      <c r="GNM2" s="525"/>
      <c r="GNN2" s="525"/>
      <c r="GNO2" s="525"/>
      <c r="GNP2" s="525"/>
      <c r="GNQ2" s="525"/>
      <c r="GNR2" s="525"/>
      <c r="GNS2" s="525"/>
      <c r="GNT2" s="525"/>
      <c r="GNU2" s="525"/>
      <c r="GNV2" s="525"/>
      <c r="GNW2" s="525"/>
      <c r="GNX2" s="525"/>
      <c r="GNY2" s="525"/>
      <c r="GNZ2" s="525"/>
      <c r="GOA2" s="525"/>
      <c r="GOB2" s="525"/>
      <c r="GOC2" s="525"/>
      <c r="GOD2" s="525"/>
      <c r="GOE2" s="525"/>
      <c r="GOF2" s="525"/>
      <c r="GOG2" s="525"/>
      <c r="GOH2" s="525"/>
      <c r="GOI2" s="525"/>
      <c r="GOJ2" s="525"/>
      <c r="GOK2" s="525"/>
      <c r="GOL2" s="525"/>
      <c r="GOM2" s="525"/>
      <c r="GON2" s="525"/>
      <c r="GOO2" s="525"/>
      <c r="GOP2" s="525"/>
      <c r="GOQ2" s="525"/>
      <c r="GOR2" s="525"/>
      <c r="GOS2" s="525"/>
      <c r="GOT2" s="525"/>
      <c r="GOU2" s="525"/>
      <c r="GOV2" s="525"/>
      <c r="GOW2" s="525"/>
      <c r="GOX2" s="525"/>
      <c r="GOY2" s="525"/>
      <c r="GOZ2" s="525"/>
      <c r="GPA2" s="525"/>
      <c r="GPB2" s="525"/>
      <c r="GPC2" s="525"/>
      <c r="GPD2" s="525"/>
      <c r="GPE2" s="525"/>
      <c r="GPF2" s="525"/>
      <c r="GPG2" s="525"/>
      <c r="GPH2" s="525"/>
      <c r="GPI2" s="525"/>
      <c r="GPJ2" s="525"/>
      <c r="GPK2" s="525"/>
      <c r="GPL2" s="525"/>
      <c r="GPM2" s="525"/>
      <c r="GPN2" s="525"/>
      <c r="GPO2" s="525"/>
      <c r="GPP2" s="525"/>
      <c r="GPQ2" s="525"/>
      <c r="GPR2" s="525"/>
      <c r="GPS2" s="525"/>
      <c r="GPT2" s="525"/>
      <c r="GPU2" s="525"/>
      <c r="GPV2" s="525"/>
      <c r="GPW2" s="525"/>
      <c r="GPX2" s="525"/>
      <c r="GPY2" s="525"/>
      <c r="GPZ2" s="525"/>
      <c r="GQA2" s="525"/>
      <c r="GQB2" s="525"/>
      <c r="GQC2" s="525"/>
      <c r="GQD2" s="525"/>
      <c r="GQE2" s="525"/>
      <c r="GQF2" s="525"/>
      <c r="GQG2" s="525"/>
      <c r="GQH2" s="525"/>
      <c r="GQI2" s="525"/>
      <c r="GQJ2" s="525"/>
      <c r="GQK2" s="525"/>
      <c r="GQL2" s="525"/>
      <c r="GQM2" s="525"/>
      <c r="GQN2" s="525"/>
      <c r="GQO2" s="525"/>
      <c r="GQP2" s="525"/>
      <c r="GQQ2" s="525"/>
      <c r="GQR2" s="525"/>
      <c r="GQS2" s="525"/>
      <c r="GQT2" s="525"/>
      <c r="GQU2" s="525"/>
      <c r="GQV2" s="525"/>
      <c r="GQW2" s="525"/>
      <c r="GQX2" s="525"/>
      <c r="GQY2" s="525"/>
      <c r="GQZ2" s="525"/>
      <c r="GRA2" s="525"/>
      <c r="GRB2" s="525"/>
      <c r="GRC2" s="525"/>
      <c r="GRD2" s="525"/>
      <c r="GRE2" s="525"/>
      <c r="GRF2" s="525"/>
      <c r="GRG2" s="525"/>
      <c r="GRH2" s="525"/>
      <c r="GRI2" s="525"/>
      <c r="GRJ2" s="525"/>
      <c r="GRK2" s="525"/>
      <c r="GRL2" s="525"/>
      <c r="GRM2" s="525"/>
      <c r="GRN2" s="525"/>
      <c r="GRO2" s="525"/>
      <c r="GRP2" s="525"/>
      <c r="GRQ2" s="525"/>
      <c r="GRR2" s="525"/>
      <c r="GRS2" s="525"/>
      <c r="GRT2" s="525"/>
      <c r="GRU2" s="525"/>
      <c r="GRV2" s="525"/>
      <c r="GRW2" s="525"/>
      <c r="GRX2" s="525"/>
      <c r="GRY2" s="525"/>
      <c r="GRZ2" s="525"/>
      <c r="GSA2" s="525"/>
      <c r="GSB2" s="525"/>
      <c r="GSC2" s="525"/>
      <c r="GSD2" s="525"/>
      <c r="GSE2" s="525"/>
      <c r="GSF2" s="525"/>
      <c r="GSG2" s="525"/>
      <c r="GSH2" s="525"/>
      <c r="GSI2" s="525"/>
      <c r="GSJ2" s="525"/>
      <c r="GSK2" s="525"/>
      <c r="GSL2" s="525"/>
      <c r="GSM2" s="525"/>
      <c r="GSN2" s="525"/>
      <c r="GSO2" s="525"/>
      <c r="GSP2" s="525"/>
      <c r="GSQ2" s="525"/>
      <c r="GSR2" s="525"/>
      <c r="GSS2" s="525"/>
      <c r="GST2" s="525"/>
      <c r="GSU2" s="525"/>
      <c r="GSV2" s="525"/>
      <c r="GSW2" s="525"/>
      <c r="GSX2" s="525"/>
      <c r="GSY2" s="525"/>
      <c r="GSZ2" s="525"/>
      <c r="GTA2" s="525"/>
      <c r="GTB2" s="525"/>
      <c r="GTC2" s="525"/>
      <c r="GTD2" s="525"/>
      <c r="GTE2" s="525"/>
      <c r="GTF2" s="525"/>
      <c r="GTG2" s="525"/>
      <c r="GTH2" s="525"/>
      <c r="GTI2" s="525"/>
      <c r="GTJ2" s="525"/>
      <c r="GTK2" s="525"/>
      <c r="GTL2" s="525"/>
      <c r="GTM2" s="525"/>
      <c r="GTN2" s="525"/>
      <c r="GTO2" s="525"/>
      <c r="GTP2" s="525"/>
      <c r="GTQ2" s="525"/>
      <c r="GTR2" s="525"/>
      <c r="GTS2" s="525"/>
      <c r="GTT2" s="525"/>
      <c r="GTU2" s="525"/>
      <c r="GTV2" s="525"/>
      <c r="GTW2" s="525"/>
      <c r="GTX2" s="525"/>
      <c r="GTY2" s="525"/>
      <c r="GTZ2" s="525"/>
      <c r="GUA2" s="525"/>
      <c r="GUB2" s="525"/>
      <c r="GUC2" s="525"/>
      <c r="GUD2" s="525"/>
      <c r="GUE2" s="525"/>
      <c r="GUF2" s="525"/>
      <c r="GUG2" s="525"/>
      <c r="GUH2" s="525"/>
      <c r="GUI2" s="525"/>
      <c r="GUJ2" s="525"/>
      <c r="GUK2" s="525"/>
      <c r="GUL2" s="525"/>
      <c r="GUM2" s="525"/>
      <c r="GUN2" s="525"/>
      <c r="GUO2" s="525"/>
      <c r="GUP2" s="525"/>
      <c r="GUQ2" s="525"/>
      <c r="GUR2" s="525"/>
      <c r="GUS2" s="525"/>
      <c r="GUT2" s="525"/>
      <c r="GUU2" s="525"/>
      <c r="GUV2" s="525"/>
      <c r="GUW2" s="525"/>
      <c r="GUX2" s="525"/>
      <c r="GUY2" s="525"/>
      <c r="GUZ2" s="525"/>
      <c r="GVA2" s="525"/>
      <c r="GVB2" s="525"/>
      <c r="GVC2" s="525"/>
      <c r="GVD2" s="525"/>
      <c r="GVE2" s="525"/>
      <c r="GVF2" s="525"/>
      <c r="GVG2" s="525"/>
      <c r="GVH2" s="525"/>
      <c r="GVI2" s="525"/>
      <c r="GVJ2" s="525"/>
      <c r="GVK2" s="525"/>
      <c r="GVL2" s="525"/>
      <c r="GVM2" s="525"/>
      <c r="GVN2" s="525"/>
      <c r="GVO2" s="525"/>
      <c r="GVP2" s="525"/>
      <c r="GVQ2" s="525"/>
      <c r="GVR2" s="525"/>
      <c r="GVS2" s="525"/>
      <c r="GVT2" s="525"/>
      <c r="GVU2" s="525"/>
      <c r="GVV2" s="525"/>
      <c r="GVW2" s="525"/>
      <c r="GVX2" s="525"/>
      <c r="GVY2" s="525"/>
      <c r="GVZ2" s="525"/>
      <c r="GWA2" s="525"/>
      <c r="GWB2" s="525"/>
      <c r="GWC2" s="525"/>
      <c r="GWD2" s="525"/>
      <c r="GWE2" s="525"/>
      <c r="GWF2" s="525"/>
      <c r="GWG2" s="525"/>
      <c r="GWH2" s="525"/>
      <c r="GWI2" s="525"/>
      <c r="GWJ2" s="525"/>
      <c r="GWK2" s="525"/>
      <c r="GWL2" s="525"/>
      <c r="GWM2" s="525"/>
      <c r="GWN2" s="525"/>
      <c r="GWO2" s="525"/>
      <c r="GWP2" s="525"/>
      <c r="GWQ2" s="525"/>
      <c r="GWR2" s="525"/>
      <c r="GWS2" s="525"/>
      <c r="GWT2" s="525"/>
      <c r="GWU2" s="525"/>
      <c r="GWV2" s="525"/>
      <c r="GWW2" s="525"/>
      <c r="GWX2" s="525"/>
      <c r="GWY2" s="525"/>
      <c r="GWZ2" s="525"/>
      <c r="GXA2" s="525"/>
      <c r="GXB2" s="525"/>
      <c r="GXC2" s="525"/>
      <c r="GXD2" s="525"/>
      <c r="GXE2" s="525"/>
      <c r="GXF2" s="525"/>
      <c r="GXG2" s="525"/>
      <c r="GXH2" s="525"/>
      <c r="GXI2" s="525"/>
      <c r="GXJ2" s="525"/>
      <c r="GXK2" s="525"/>
      <c r="GXL2" s="525"/>
      <c r="GXM2" s="525"/>
      <c r="GXN2" s="525"/>
      <c r="GXO2" s="525"/>
      <c r="GXP2" s="525"/>
      <c r="GXQ2" s="525"/>
      <c r="GXR2" s="525"/>
      <c r="GXS2" s="525"/>
      <c r="GXT2" s="525"/>
      <c r="GXU2" s="525"/>
      <c r="GXV2" s="525"/>
      <c r="GXW2" s="525"/>
      <c r="GXX2" s="525"/>
      <c r="GXY2" s="525"/>
      <c r="GXZ2" s="525"/>
      <c r="GYA2" s="525"/>
      <c r="GYB2" s="525"/>
      <c r="GYC2" s="525"/>
      <c r="GYD2" s="525"/>
      <c r="GYE2" s="525"/>
      <c r="GYF2" s="525"/>
      <c r="GYG2" s="525"/>
      <c r="GYH2" s="525"/>
      <c r="GYI2" s="525"/>
      <c r="GYJ2" s="525"/>
      <c r="GYK2" s="525"/>
      <c r="GYL2" s="525"/>
      <c r="GYM2" s="525"/>
      <c r="GYN2" s="525"/>
      <c r="GYO2" s="525"/>
      <c r="GYP2" s="525"/>
      <c r="GYQ2" s="525"/>
      <c r="GYR2" s="525"/>
      <c r="GYS2" s="525"/>
      <c r="GYT2" s="525"/>
      <c r="GYU2" s="525"/>
      <c r="GYV2" s="525"/>
      <c r="GYW2" s="525"/>
      <c r="GYX2" s="525"/>
      <c r="GYY2" s="525"/>
      <c r="GYZ2" s="525"/>
      <c r="GZA2" s="525"/>
      <c r="GZB2" s="525"/>
      <c r="GZC2" s="525"/>
      <c r="GZD2" s="525"/>
      <c r="GZE2" s="525"/>
      <c r="GZF2" s="525"/>
      <c r="GZG2" s="525"/>
      <c r="GZH2" s="525"/>
      <c r="GZI2" s="525"/>
      <c r="GZJ2" s="525"/>
      <c r="GZK2" s="525"/>
      <c r="GZL2" s="525"/>
      <c r="GZM2" s="525"/>
      <c r="GZN2" s="525"/>
      <c r="GZO2" s="525"/>
      <c r="GZP2" s="525"/>
      <c r="GZQ2" s="525"/>
      <c r="GZR2" s="525"/>
      <c r="GZS2" s="525"/>
      <c r="GZT2" s="525"/>
      <c r="GZU2" s="525"/>
      <c r="GZV2" s="525"/>
      <c r="GZW2" s="525"/>
      <c r="GZX2" s="525"/>
      <c r="GZY2" s="525"/>
      <c r="GZZ2" s="525"/>
      <c r="HAA2" s="525"/>
      <c r="HAB2" s="525"/>
      <c r="HAC2" s="525"/>
      <c r="HAD2" s="525"/>
      <c r="HAE2" s="525"/>
      <c r="HAF2" s="525"/>
      <c r="HAG2" s="525"/>
      <c r="HAH2" s="525"/>
      <c r="HAI2" s="525"/>
      <c r="HAJ2" s="525"/>
      <c r="HAK2" s="525"/>
      <c r="HAL2" s="525"/>
      <c r="HAM2" s="525"/>
      <c r="HAN2" s="525"/>
      <c r="HAO2" s="525"/>
      <c r="HAP2" s="525"/>
      <c r="HAQ2" s="525"/>
      <c r="HAR2" s="525"/>
      <c r="HAS2" s="525"/>
      <c r="HAT2" s="525"/>
      <c r="HAU2" s="525"/>
      <c r="HAV2" s="525"/>
      <c r="HAW2" s="525"/>
      <c r="HAX2" s="525"/>
      <c r="HAY2" s="525"/>
      <c r="HAZ2" s="525"/>
      <c r="HBA2" s="525"/>
      <c r="HBB2" s="525"/>
      <c r="HBC2" s="525"/>
      <c r="HBD2" s="525"/>
      <c r="HBE2" s="525"/>
      <c r="HBF2" s="525"/>
      <c r="HBG2" s="525"/>
      <c r="HBH2" s="525"/>
      <c r="HBI2" s="525"/>
      <c r="HBJ2" s="525"/>
      <c r="HBK2" s="525"/>
      <c r="HBL2" s="525"/>
      <c r="HBM2" s="525"/>
      <c r="HBN2" s="525"/>
      <c r="HBO2" s="525"/>
      <c r="HBP2" s="525"/>
      <c r="HBQ2" s="525"/>
      <c r="HBR2" s="525"/>
      <c r="HBS2" s="525"/>
      <c r="HBT2" s="525"/>
      <c r="HBU2" s="525"/>
      <c r="HBV2" s="525"/>
      <c r="HBW2" s="525"/>
      <c r="HBX2" s="525"/>
      <c r="HBY2" s="525"/>
      <c r="HBZ2" s="525"/>
      <c r="HCA2" s="525"/>
      <c r="HCB2" s="525"/>
      <c r="HCC2" s="525"/>
      <c r="HCD2" s="525"/>
      <c r="HCE2" s="525"/>
      <c r="HCF2" s="525"/>
      <c r="HCG2" s="525"/>
      <c r="HCH2" s="525"/>
      <c r="HCI2" s="525"/>
      <c r="HCJ2" s="525"/>
      <c r="HCK2" s="525"/>
      <c r="HCL2" s="525"/>
      <c r="HCM2" s="525"/>
      <c r="HCN2" s="525"/>
      <c r="HCO2" s="525"/>
      <c r="HCP2" s="525"/>
      <c r="HCQ2" s="525"/>
      <c r="HCR2" s="525"/>
      <c r="HCS2" s="525"/>
      <c r="HCT2" s="525"/>
      <c r="HCU2" s="525"/>
      <c r="HCV2" s="525"/>
      <c r="HCW2" s="525"/>
      <c r="HCX2" s="525"/>
      <c r="HCY2" s="525"/>
      <c r="HCZ2" s="525"/>
      <c r="HDA2" s="525"/>
      <c r="HDB2" s="525"/>
      <c r="HDC2" s="525"/>
      <c r="HDD2" s="525"/>
      <c r="HDE2" s="525"/>
      <c r="HDF2" s="525"/>
      <c r="HDG2" s="525"/>
      <c r="HDH2" s="525"/>
      <c r="HDI2" s="525"/>
      <c r="HDJ2" s="525"/>
      <c r="HDK2" s="525"/>
      <c r="HDL2" s="525"/>
      <c r="HDM2" s="525"/>
      <c r="HDN2" s="525"/>
      <c r="HDO2" s="525"/>
      <c r="HDP2" s="525"/>
      <c r="HDQ2" s="525"/>
      <c r="HDR2" s="525"/>
      <c r="HDS2" s="525"/>
      <c r="HDT2" s="525"/>
      <c r="HDU2" s="525"/>
      <c r="HDV2" s="525"/>
      <c r="HDW2" s="525"/>
      <c r="HDX2" s="525"/>
      <c r="HDY2" s="525"/>
      <c r="HDZ2" s="525"/>
      <c r="HEA2" s="525"/>
      <c r="HEB2" s="525"/>
      <c r="HEC2" s="525"/>
      <c r="HED2" s="525"/>
      <c r="HEE2" s="525"/>
      <c r="HEF2" s="525"/>
      <c r="HEG2" s="525"/>
      <c r="HEH2" s="525"/>
      <c r="HEI2" s="525"/>
      <c r="HEJ2" s="525"/>
      <c r="HEK2" s="525"/>
      <c r="HEL2" s="525"/>
      <c r="HEM2" s="525"/>
      <c r="HEN2" s="525"/>
      <c r="HEO2" s="525"/>
      <c r="HEP2" s="525"/>
      <c r="HEQ2" s="525"/>
      <c r="HER2" s="525"/>
      <c r="HES2" s="525"/>
      <c r="HET2" s="525"/>
      <c r="HEU2" s="525"/>
      <c r="HEV2" s="525"/>
      <c r="HEW2" s="525"/>
      <c r="HEX2" s="525"/>
      <c r="HEY2" s="525"/>
      <c r="HEZ2" s="525"/>
      <c r="HFA2" s="525"/>
      <c r="HFB2" s="525"/>
      <c r="HFC2" s="525"/>
      <c r="HFD2" s="525"/>
      <c r="HFE2" s="525"/>
      <c r="HFF2" s="525"/>
      <c r="HFG2" s="525"/>
      <c r="HFH2" s="525"/>
      <c r="HFI2" s="525"/>
      <c r="HFJ2" s="525"/>
      <c r="HFK2" s="525"/>
      <c r="HFL2" s="525"/>
      <c r="HFM2" s="525"/>
      <c r="HFN2" s="525"/>
      <c r="HFO2" s="525"/>
      <c r="HFP2" s="525"/>
      <c r="HFQ2" s="525"/>
      <c r="HFR2" s="525"/>
      <c r="HFS2" s="525"/>
      <c r="HFT2" s="525"/>
      <c r="HFU2" s="525"/>
      <c r="HFV2" s="525"/>
      <c r="HFW2" s="525"/>
      <c r="HFX2" s="525"/>
      <c r="HFY2" s="525"/>
      <c r="HFZ2" s="525"/>
      <c r="HGA2" s="525"/>
      <c r="HGB2" s="525"/>
      <c r="HGC2" s="525"/>
      <c r="HGD2" s="525"/>
      <c r="HGE2" s="525"/>
      <c r="HGF2" s="525"/>
      <c r="HGG2" s="525"/>
      <c r="HGH2" s="525"/>
      <c r="HGI2" s="525"/>
      <c r="HGJ2" s="525"/>
      <c r="HGK2" s="525"/>
      <c r="HGL2" s="525"/>
      <c r="HGM2" s="525"/>
      <c r="HGN2" s="525"/>
      <c r="HGO2" s="525"/>
      <c r="HGP2" s="525"/>
      <c r="HGQ2" s="525"/>
      <c r="HGR2" s="525"/>
      <c r="HGS2" s="525"/>
      <c r="HGT2" s="525"/>
      <c r="HGU2" s="525"/>
      <c r="HGV2" s="525"/>
      <c r="HGW2" s="525"/>
      <c r="HGX2" s="525"/>
      <c r="HGY2" s="525"/>
      <c r="HGZ2" s="525"/>
      <c r="HHA2" s="525"/>
      <c r="HHB2" s="525"/>
      <c r="HHC2" s="525"/>
      <c r="HHD2" s="525"/>
      <c r="HHE2" s="525"/>
      <c r="HHF2" s="525"/>
      <c r="HHG2" s="525"/>
      <c r="HHH2" s="525"/>
      <c r="HHI2" s="525"/>
      <c r="HHJ2" s="525"/>
      <c r="HHK2" s="525"/>
      <c r="HHL2" s="525"/>
      <c r="HHM2" s="525"/>
      <c r="HHN2" s="525"/>
      <c r="HHO2" s="525"/>
      <c r="HHP2" s="525"/>
      <c r="HHQ2" s="525"/>
      <c r="HHR2" s="525"/>
      <c r="HHS2" s="525"/>
      <c r="HHT2" s="525"/>
      <c r="HHU2" s="525"/>
      <c r="HHV2" s="525"/>
      <c r="HHW2" s="525"/>
      <c r="HHX2" s="525"/>
      <c r="HHY2" s="525"/>
      <c r="HHZ2" s="525"/>
      <c r="HIA2" s="525"/>
      <c r="HIB2" s="525"/>
      <c r="HIC2" s="525"/>
      <c r="HID2" s="525"/>
      <c r="HIE2" s="525"/>
      <c r="HIF2" s="525"/>
      <c r="HIG2" s="525"/>
      <c r="HIH2" s="525"/>
      <c r="HII2" s="525"/>
      <c r="HIJ2" s="525"/>
      <c r="HIK2" s="525"/>
      <c r="HIL2" s="525"/>
      <c r="HIM2" s="525"/>
      <c r="HIN2" s="525"/>
      <c r="HIO2" s="525"/>
      <c r="HIP2" s="525"/>
      <c r="HIQ2" s="525"/>
      <c r="HIR2" s="525"/>
      <c r="HIS2" s="525"/>
      <c r="HIT2" s="525"/>
      <c r="HIU2" s="525"/>
      <c r="HIV2" s="525"/>
      <c r="HIW2" s="525"/>
      <c r="HIX2" s="525"/>
      <c r="HIY2" s="525"/>
      <c r="HIZ2" s="525"/>
      <c r="HJA2" s="525"/>
      <c r="HJB2" s="525"/>
      <c r="HJC2" s="525"/>
      <c r="HJD2" s="525"/>
      <c r="HJE2" s="525"/>
      <c r="HJF2" s="525"/>
      <c r="HJG2" s="525"/>
      <c r="HJH2" s="525"/>
      <c r="HJI2" s="525"/>
      <c r="HJJ2" s="525"/>
      <c r="HJK2" s="525"/>
      <c r="HJL2" s="525"/>
      <c r="HJM2" s="525"/>
      <c r="HJN2" s="525"/>
      <c r="HJO2" s="525"/>
      <c r="HJP2" s="525"/>
      <c r="HJQ2" s="525"/>
      <c r="HJR2" s="525"/>
      <c r="HJS2" s="525"/>
      <c r="HJT2" s="525"/>
      <c r="HJU2" s="525"/>
      <c r="HJV2" s="525"/>
      <c r="HJW2" s="525"/>
      <c r="HJX2" s="525"/>
      <c r="HJY2" s="525"/>
      <c r="HJZ2" s="525"/>
      <c r="HKA2" s="525"/>
      <c r="HKB2" s="525"/>
      <c r="HKC2" s="525"/>
      <c r="HKD2" s="525"/>
      <c r="HKE2" s="525"/>
      <c r="HKF2" s="525"/>
      <c r="HKG2" s="525"/>
      <c r="HKH2" s="525"/>
      <c r="HKI2" s="525"/>
      <c r="HKJ2" s="525"/>
      <c r="HKK2" s="525"/>
      <c r="HKL2" s="525"/>
      <c r="HKM2" s="525"/>
      <c r="HKN2" s="525"/>
      <c r="HKO2" s="525"/>
      <c r="HKP2" s="525"/>
      <c r="HKQ2" s="525"/>
      <c r="HKR2" s="525"/>
      <c r="HKS2" s="525"/>
      <c r="HKT2" s="525"/>
      <c r="HKU2" s="525"/>
      <c r="HKV2" s="525"/>
      <c r="HKW2" s="525"/>
      <c r="HKX2" s="525"/>
      <c r="HKY2" s="525"/>
      <c r="HKZ2" s="525"/>
      <c r="HLA2" s="525"/>
      <c r="HLB2" s="525"/>
      <c r="HLC2" s="525"/>
      <c r="HLD2" s="525"/>
      <c r="HLE2" s="525"/>
      <c r="HLF2" s="525"/>
      <c r="HLG2" s="525"/>
      <c r="HLH2" s="525"/>
      <c r="HLI2" s="525"/>
      <c r="HLJ2" s="525"/>
      <c r="HLK2" s="525"/>
      <c r="HLL2" s="525"/>
      <c r="HLM2" s="525"/>
      <c r="HLN2" s="525"/>
      <c r="HLO2" s="525"/>
      <c r="HLP2" s="525"/>
      <c r="HLQ2" s="525"/>
      <c r="HLR2" s="525"/>
      <c r="HLS2" s="525"/>
      <c r="HLT2" s="525"/>
      <c r="HLU2" s="525"/>
      <c r="HLV2" s="525"/>
      <c r="HLW2" s="525"/>
      <c r="HLX2" s="525"/>
      <c r="HLY2" s="525"/>
      <c r="HLZ2" s="525"/>
      <c r="HMA2" s="525"/>
      <c r="HMB2" s="525"/>
      <c r="HMC2" s="525"/>
      <c r="HMD2" s="525"/>
      <c r="HME2" s="525"/>
      <c r="HMF2" s="525"/>
      <c r="HMG2" s="525"/>
      <c r="HMH2" s="525"/>
      <c r="HMI2" s="525"/>
      <c r="HMJ2" s="525"/>
      <c r="HMK2" s="525"/>
      <c r="HML2" s="525"/>
      <c r="HMM2" s="525"/>
      <c r="HMN2" s="525"/>
      <c r="HMO2" s="525"/>
      <c r="HMP2" s="525"/>
      <c r="HMQ2" s="525"/>
      <c r="HMR2" s="525"/>
      <c r="HMS2" s="525"/>
      <c r="HMT2" s="525"/>
      <c r="HMU2" s="525"/>
      <c r="HMV2" s="525"/>
      <c r="HMW2" s="525"/>
      <c r="HMX2" s="525"/>
      <c r="HMY2" s="525"/>
      <c r="HMZ2" s="525"/>
      <c r="HNA2" s="525"/>
      <c r="HNB2" s="525"/>
      <c r="HNC2" s="525"/>
      <c r="HND2" s="525"/>
      <c r="HNE2" s="525"/>
      <c r="HNF2" s="525"/>
      <c r="HNG2" s="525"/>
      <c r="HNH2" s="525"/>
      <c r="HNI2" s="525"/>
      <c r="HNJ2" s="525"/>
      <c r="HNK2" s="525"/>
      <c r="HNL2" s="525"/>
      <c r="HNM2" s="525"/>
      <c r="HNN2" s="525"/>
      <c r="HNO2" s="525"/>
      <c r="HNP2" s="525"/>
      <c r="HNQ2" s="525"/>
      <c r="HNR2" s="525"/>
      <c r="HNS2" s="525"/>
      <c r="HNT2" s="525"/>
      <c r="HNU2" s="525"/>
      <c r="HNV2" s="525"/>
      <c r="HNW2" s="525"/>
      <c r="HNX2" s="525"/>
      <c r="HNY2" s="525"/>
      <c r="HNZ2" s="525"/>
      <c r="HOA2" s="525"/>
      <c r="HOB2" s="525"/>
      <c r="HOC2" s="525"/>
      <c r="HOD2" s="525"/>
      <c r="HOE2" s="525"/>
      <c r="HOF2" s="525"/>
      <c r="HOG2" s="525"/>
      <c r="HOH2" s="525"/>
      <c r="HOI2" s="525"/>
      <c r="HOJ2" s="525"/>
      <c r="HOK2" s="525"/>
      <c r="HOL2" s="525"/>
      <c r="HOM2" s="525"/>
      <c r="HON2" s="525"/>
      <c r="HOO2" s="525"/>
      <c r="HOP2" s="525"/>
      <c r="HOQ2" s="525"/>
      <c r="HOR2" s="525"/>
      <c r="HOS2" s="525"/>
      <c r="HOT2" s="525"/>
      <c r="HOU2" s="525"/>
      <c r="HOV2" s="525"/>
      <c r="HOW2" s="525"/>
      <c r="HOX2" s="525"/>
      <c r="HOY2" s="525"/>
      <c r="HOZ2" s="525"/>
      <c r="HPA2" s="525"/>
      <c r="HPB2" s="525"/>
      <c r="HPC2" s="525"/>
      <c r="HPD2" s="525"/>
      <c r="HPE2" s="525"/>
      <c r="HPF2" s="525"/>
      <c r="HPG2" s="525"/>
      <c r="HPH2" s="525"/>
      <c r="HPI2" s="525"/>
      <c r="HPJ2" s="525"/>
      <c r="HPK2" s="525"/>
      <c r="HPL2" s="525"/>
      <c r="HPM2" s="525"/>
      <c r="HPN2" s="525"/>
      <c r="HPO2" s="525"/>
      <c r="HPP2" s="525"/>
      <c r="HPQ2" s="525"/>
      <c r="HPR2" s="525"/>
      <c r="HPS2" s="525"/>
      <c r="HPT2" s="525"/>
      <c r="HPU2" s="525"/>
      <c r="HPV2" s="525"/>
      <c r="HPW2" s="525"/>
      <c r="HPX2" s="525"/>
      <c r="HPY2" s="525"/>
      <c r="HPZ2" s="525"/>
      <c r="HQA2" s="525"/>
      <c r="HQB2" s="525"/>
      <c r="HQC2" s="525"/>
      <c r="HQD2" s="525"/>
      <c r="HQE2" s="525"/>
      <c r="HQF2" s="525"/>
      <c r="HQG2" s="525"/>
      <c r="HQH2" s="525"/>
      <c r="HQI2" s="525"/>
      <c r="HQJ2" s="525"/>
      <c r="HQK2" s="525"/>
      <c r="HQL2" s="525"/>
      <c r="HQM2" s="525"/>
      <c r="HQN2" s="525"/>
      <c r="HQO2" s="525"/>
      <c r="HQP2" s="525"/>
      <c r="HQQ2" s="525"/>
      <c r="HQR2" s="525"/>
      <c r="HQS2" s="525"/>
      <c r="HQT2" s="525"/>
      <c r="HQU2" s="525"/>
      <c r="HQV2" s="525"/>
      <c r="HQW2" s="525"/>
      <c r="HQX2" s="525"/>
      <c r="HQY2" s="525"/>
      <c r="HQZ2" s="525"/>
      <c r="HRA2" s="525"/>
      <c r="HRB2" s="525"/>
      <c r="HRC2" s="525"/>
      <c r="HRD2" s="525"/>
      <c r="HRE2" s="525"/>
      <c r="HRF2" s="525"/>
      <c r="HRG2" s="525"/>
      <c r="HRH2" s="525"/>
      <c r="HRI2" s="525"/>
      <c r="HRJ2" s="525"/>
      <c r="HRK2" s="525"/>
      <c r="HRL2" s="525"/>
      <c r="HRM2" s="525"/>
      <c r="HRN2" s="525"/>
      <c r="HRO2" s="525"/>
      <c r="HRP2" s="525"/>
      <c r="HRQ2" s="525"/>
      <c r="HRR2" s="525"/>
      <c r="HRS2" s="525"/>
      <c r="HRT2" s="525"/>
      <c r="HRU2" s="525"/>
      <c r="HRV2" s="525"/>
      <c r="HRW2" s="525"/>
      <c r="HRX2" s="525"/>
      <c r="HRY2" s="525"/>
      <c r="HRZ2" s="525"/>
      <c r="HSA2" s="525"/>
      <c r="HSB2" s="525"/>
      <c r="HSC2" s="525"/>
      <c r="HSD2" s="525"/>
      <c r="HSE2" s="525"/>
      <c r="HSF2" s="525"/>
      <c r="HSG2" s="525"/>
      <c r="HSH2" s="525"/>
      <c r="HSI2" s="525"/>
      <c r="HSJ2" s="525"/>
      <c r="HSK2" s="525"/>
      <c r="HSL2" s="525"/>
      <c r="HSM2" s="525"/>
      <c r="HSN2" s="525"/>
      <c r="HSO2" s="525"/>
      <c r="HSP2" s="525"/>
      <c r="HSQ2" s="525"/>
      <c r="HSR2" s="525"/>
      <c r="HSS2" s="525"/>
      <c r="HST2" s="525"/>
      <c r="HSU2" s="525"/>
      <c r="HSV2" s="525"/>
      <c r="HSW2" s="525"/>
      <c r="HSX2" s="525"/>
      <c r="HSY2" s="525"/>
      <c r="HSZ2" s="525"/>
      <c r="HTA2" s="525"/>
      <c r="HTB2" s="525"/>
      <c r="HTC2" s="525"/>
      <c r="HTD2" s="525"/>
      <c r="HTE2" s="525"/>
      <c r="HTF2" s="525"/>
      <c r="HTG2" s="525"/>
      <c r="HTH2" s="525"/>
      <c r="HTI2" s="525"/>
      <c r="HTJ2" s="525"/>
      <c r="HTK2" s="525"/>
      <c r="HTL2" s="525"/>
      <c r="HTM2" s="525"/>
      <c r="HTN2" s="525"/>
      <c r="HTO2" s="525"/>
      <c r="HTP2" s="525"/>
      <c r="HTQ2" s="525"/>
      <c r="HTR2" s="525"/>
      <c r="HTS2" s="525"/>
      <c r="HTT2" s="525"/>
      <c r="HTU2" s="525"/>
      <c r="HTV2" s="525"/>
      <c r="HTW2" s="525"/>
      <c r="HTX2" s="525"/>
      <c r="HTY2" s="525"/>
      <c r="HTZ2" s="525"/>
      <c r="HUA2" s="525"/>
      <c r="HUB2" s="525"/>
      <c r="HUC2" s="525"/>
      <c r="HUD2" s="525"/>
      <c r="HUE2" s="525"/>
      <c r="HUF2" s="525"/>
      <c r="HUG2" s="525"/>
      <c r="HUH2" s="525"/>
      <c r="HUI2" s="525"/>
      <c r="HUJ2" s="525"/>
      <c r="HUK2" s="525"/>
      <c r="HUL2" s="525"/>
      <c r="HUM2" s="525"/>
      <c r="HUN2" s="525"/>
      <c r="HUO2" s="525"/>
      <c r="HUP2" s="525"/>
      <c r="HUQ2" s="525"/>
      <c r="HUR2" s="525"/>
      <c r="HUS2" s="525"/>
      <c r="HUT2" s="525"/>
      <c r="HUU2" s="525"/>
      <c r="HUV2" s="525"/>
      <c r="HUW2" s="525"/>
      <c r="HUX2" s="525"/>
      <c r="HUY2" s="525"/>
      <c r="HUZ2" s="525"/>
      <c r="HVA2" s="525"/>
      <c r="HVB2" s="525"/>
      <c r="HVC2" s="525"/>
      <c r="HVD2" s="525"/>
      <c r="HVE2" s="525"/>
      <c r="HVF2" s="525"/>
      <c r="HVG2" s="525"/>
      <c r="HVH2" s="525"/>
      <c r="HVI2" s="525"/>
      <c r="HVJ2" s="525"/>
      <c r="HVK2" s="525"/>
      <c r="HVL2" s="525"/>
      <c r="HVM2" s="525"/>
      <c r="HVN2" s="525"/>
      <c r="HVO2" s="525"/>
      <c r="HVP2" s="525"/>
      <c r="HVQ2" s="525"/>
      <c r="HVR2" s="525"/>
      <c r="HVS2" s="525"/>
      <c r="HVT2" s="525"/>
      <c r="HVU2" s="525"/>
      <c r="HVV2" s="525"/>
      <c r="HVW2" s="525"/>
      <c r="HVX2" s="525"/>
      <c r="HVY2" s="525"/>
      <c r="HVZ2" s="525"/>
      <c r="HWA2" s="525"/>
      <c r="HWB2" s="525"/>
      <c r="HWC2" s="525"/>
      <c r="HWD2" s="525"/>
      <c r="HWE2" s="525"/>
      <c r="HWF2" s="525"/>
      <c r="HWG2" s="525"/>
      <c r="HWH2" s="525"/>
      <c r="HWI2" s="525"/>
      <c r="HWJ2" s="525"/>
      <c r="HWK2" s="525"/>
      <c r="HWL2" s="525"/>
      <c r="HWM2" s="525"/>
      <c r="HWN2" s="525"/>
      <c r="HWO2" s="525"/>
      <c r="HWP2" s="525"/>
      <c r="HWQ2" s="525"/>
      <c r="HWR2" s="525"/>
      <c r="HWS2" s="525"/>
      <c r="HWT2" s="525"/>
      <c r="HWU2" s="525"/>
      <c r="HWV2" s="525"/>
      <c r="HWW2" s="525"/>
      <c r="HWX2" s="525"/>
      <c r="HWY2" s="525"/>
      <c r="HWZ2" s="525"/>
      <c r="HXA2" s="525"/>
      <c r="HXB2" s="525"/>
      <c r="HXC2" s="525"/>
      <c r="HXD2" s="525"/>
      <c r="HXE2" s="525"/>
      <c r="HXF2" s="525"/>
      <c r="HXG2" s="525"/>
      <c r="HXH2" s="525"/>
      <c r="HXI2" s="525"/>
      <c r="HXJ2" s="525"/>
      <c r="HXK2" s="525"/>
      <c r="HXL2" s="525"/>
      <c r="HXM2" s="525"/>
      <c r="HXN2" s="525"/>
      <c r="HXO2" s="525"/>
      <c r="HXP2" s="525"/>
      <c r="HXQ2" s="525"/>
      <c r="HXR2" s="525"/>
      <c r="HXS2" s="525"/>
      <c r="HXT2" s="525"/>
      <c r="HXU2" s="525"/>
      <c r="HXV2" s="525"/>
      <c r="HXW2" s="525"/>
      <c r="HXX2" s="525"/>
      <c r="HXY2" s="525"/>
      <c r="HXZ2" s="525"/>
      <c r="HYA2" s="525"/>
      <c r="HYB2" s="525"/>
      <c r="HYC2" s="525"/>
      <c r="HYD2" s="525"/>
      <c r="HYE2" s="525"/>
      <c r="HYF2" s="525"/>
      <c r="HYG2" s="525"/>
      <c r="HYH2" s="525"/>
      <c r="HYI2" s="525"/>
      <c r="HYJ2" s="525"/>
      <c r="HYK2" s="525"/>
      <c r="HYL2" s="525"/>
      <c r="HYM2" s="525"/>
      <c r="HYN2" s="525"/>
      <c r="HYO2" s="525"/>
      <c r="HYP2" s="525"/>
      <c r="HYQ2" s="525"/>
      <c r="HYR2" s="525"/>
      <c r="HYS2" s="525"/>
      <c r="HYT2" s="525"/>
      <c r="HYU2" s="525"/>
      <c r="HYV2" s="525"/>
      <c r="HYW2" s="525"/>
      <c r="HYX2" s="525"/>
      <c r="HYY2" s="525"/>
      <c r="HYZ2" s="525"/>
      <c r="HZA2" s="525"/>
      <c r="HZB2" s="525"/>
      <c r="HZC2" s="525"/>
      <c r="HZD2" s="525"/>
      <c r="HZE2" s="525"/>
      <c r="HZF2" s="525"/>
      <c r="HZG2" s="525"/>
      <c r="HZH2" s="525"/>
      <c r="HZI2" s="525"/>
      <c r="HZJ2" s="525"/>
      <c r="HZK2" s="525"/>
      <c r="HZL2" s="525"/>
      <c r="HZM2" s="525"/>
      <c r="HZN2" s="525"/>
      <c r="HZO2" s="525"/>
      <c r="HZP2" s="525"/>
      <c r="HZQ2" s="525"/>
      <c r="HZR2" s="525"/>
      <c r="HZS2" s="525"/>
      <c r="HZT2" s="525"/>
      <c r="HZU2" s="525"/>
      <c r="HZV2" s="525"/>
      <c r="HZW2" s="525"/>
      <c r="HZX2" s="525"/>
      <c r="HZY2" s="525"/>
      <c r="HZZ2" s="525"/>
      <c r="IAA2" s="525"/>
      <c r="IAB2" s="525"/>
      <c r="IAC2" s="525"/>
      <c r="IAD2" s="525"/>
      <c r="IAE2" s="525"/>
      <c r="IAF2" s="525"/>
      <c r="IAG2" s="525"/>
      <c r="IAH2" s="525"/>
      <c r="IAI2" s="525"/>
      <c r="IAJ2" s="525"/>
      <c r="IAK2" s="525"/>
      <c r="IAL2" s="525"/>
      <c r="IAM2" s="525"/>
      <c r="IAN2" s="525"/>
      <c r="IAO2" s="525"/>
      <c r="IAP2" s="525"/>
      <c r="IAQ2" s="525"/>
      <c r="IAR2" s="525"/>
      <c r="IAS2" s="525"/>
      <c r="IAT2" s="525"/>
      <c r="IAU2" s="525"/>
      <c r="IAV2" s="525"/>
      <c r="IAW2" s="525"/>
      <c r="IAX2" s="525"/>
      <c r="IAY2" s="525"/>
      <c r="IAZ2" s="525"/>
      <c r="IBA2" s="525"/>
      <c r="IBB2" s="525"/>
      <c r="IBC2" s="525"/>
      <c r="IBD2" s="525"/>
      <c r="IBE2" s="525"/>
      <c r="IBF2" s="525"/>
      <c r="IBG2" s="525"/>
      <c r="IBH2" s="525"/>
      <c r="IBI2" s="525"/>
      <c r="IBJ2" s="525"/>
      <c r="IBK2" s="525"/>
      <c r="IBL2" s="525"/>
      <c r="IBM2" s="525"/>
      <c r="IBN2" s="525"/>
      <c r="IBO2" s="525"/>
      <c r="IBP2" s="525"/>
      <c r="IBQ2" s="525"/>
      <c r="IBR2" s="525"/>
      <c r="IBS2" s="525"/>
      <c r="IBT2" s="525"/>
      <c r="IBU2" s="525"/>
      <c r="IBV2" s="525"/>
      <c r="IBW2" s="525"/>
      <c r="IBX2" s="525"/>
      <c r="IBY2" s="525"/>
      <c r="IBZ2" s="525"/>
      <c r="ICA2" s="525"/>
      <c r="ICB2" s="525"/>
      <c r="ICC2" s="525"/>
      <c r="ICD2" s="525"/>
      <c r="ICE2" s="525"/>
      <c r="ICF2" s="525"/>
      <c r="ICG2" s="525"/>
      <c r="ICH2" s="525"/>
      <c r="ICI2" s="525"/>
      <c r="ICJ2" s="525"/>
      <c r="ICK2" s="525"/>
      <c r="ICL2" s="525"/>
      <c r="ICM2" s="525"/>
      <c r="ICN2" s="525"/>
      <c r="ICO2" s="525"/>
      <c r="ICP2" s="525"/>
      <c r="ICQ2" s="525"/>
      <c r="ICR2" s="525"/>
      <c r="ICS2" s="525"/>
      <c r="ICT2" s="525"/>
      <c r="ICU2" s="525"/>
      <c r="ICV2" s="525"/>
      <c r="ICW2" s="525"/>
      <c r="ICX2" s="525"/>
      <c r="ICY2" s="525"/>
      <c r="ICZ2" s="525"/>
      <c r="IDA2" s="525"/>
      <c r="IDB2" s="525"/>
      <c r="IDC2" s="525"/>
      <c r="IDD2" s="525"/>
      <c r="IDE2" s="525"/>
      <c r="IDF2" s="525"/>
      <c r="IDG2" s="525"/>
      <c r="IDH2" s="525"/>
      <c r="IDI2" s="525"/>
      <c r="IDJ2" s="525"/>
      <c r="IDK2" s="525"/>
      <c r="IDL2" s="525"/>
      <c r="IDM2" s="525"/>
      <c r="IDN2" s="525"/>
      <c r="IDO2" s="525"/>
      <c r="IDP2" s="525"/>
      <c r="IDQ2" s="525"/>
      <c r="IDR2" s="525"/>
      <c r="IDS2" s="525"/>
      <c r="IDT2" s="525"/>
      <c r="IDU2" s="525"/>
      <c r="IDV2" s="525"/>
      <c r="IDW2" s="525"/>
      <c r="IDX2" s="525"/>
      <c r="IDY2" s="525"/>
      <c r="IDZ2" s="525"/>
      <c r="IEA2" s="525"/>
      <c r="IEB2" s="525"/>
      <c r="IEC2" s="525"/>
      <c r="IED2" s="525"/>
      <c r="IEE2" s="525"/>
      <c r="IEF2" s="525"/>
      <c r="IEG2" s="525"/>
      <c r="IEH2" s="525"/>
      <c r="IEI2" s="525"/>
      <c r="IEJ2" s="525"/>
      <c r="IEK2" s="525"/>
      <c r="IEL2" s="525"/>
      <c r="IEM2" s="525"/>
      <c r="IEN2" s="525"/>
      <c r="IEO2" s="525"/>
      <c r="IEP2" s="525"/>
      <c r="IEQ2" s="525"/>
      <c r="IER2" s="525"/>
      <c r="IES2" s="525"/>
      <c r="IET2" s="525"/>
      <c r="IEU2" s="525"/>
      <c r="IEV2" s="525"/>
      <c r="IEW2" s="525"/>
      <c r="IEX2" s="525"/>
      <c r="IEY2" s="525"/>
      <c r="IEZ2" s="525"/>
      <c r="IFA2" s="525"/>
      <c r="IFB2" s="525"/>
      <c r="IFC2" s="525"/>
      <c r="IFD2" s="525"/>
      <c r="IFE2" s="525"/>
      <c r="IFF2" s="525"/>
      <c r="IFG2" s="525"/>
      <c r="IFH2" s="525"/>
      <c r="IFI2" s="525"/>
      <c r="IFJ2" s="525"/>
      <c r="IFK2" s="525"/>
      <c r="IFL2" s="525"/>
      <c r="IFM2" s="525"/>
      <c r="IFN2" s="525"/>
      <c r="IFO2" s="525"/>
      <c r="IFP2" s="525"/>
      <c r="IFQ2" s="525"/>
      <c r="IFR2" s="525"/>
      <c r="IFS2" s="525"/>
      <c r="IFT2" s="525"/>
      <c r="IFU2" s="525"/>
      <c r="IFV2" s="525"/>
      <c r="IFW2" s="525"/>
      <c r="IFX2" s="525"/>
      <c r="IFY2" s="525"/>
      <c r="IFZ2" s="525"/>
      <c r="IGA2" s="525"/>
      <c r="IGB2" s="525"/>
      <c r="IGC2" s="525"/>
      <c r="IGD2" s="525"/>
      <c r="IGE2" s="525"/>
      <c r="IGF2" s="525"/>
      <c r="IGG2" s="525"/>
      <c r="IGH2" s="525"/>
      <c r="IGI2" s="525"/>
      <c r="IGJ2" s="525"/>
      <c r="IGK2" s="525"/>
      <c r="IGL2" s="525"/>
      <c r="IGM2" s="525"/>
      <c r="IGN2" s="525"/>
      <c r="IGO2" s="525"/>
      <c r="IGP2" s="525"/>
      <c r="IGQ2" s="525"/>
      <c r="IGR2" s="525"/>
      <c r="IGS2" s="525"/>
      <c r="IGT2" s="525"/>
      <c r="IGU2" s="525"/>
      <c r="IGV2" s="525"/>
      <c r="IGW2" s="525"/>
      <c r="IGX2" s="525"/>
      <c r="IGY2" s="525"/>
      <c r="IGZ2" s="525"/>
      <c r="IHA2" s="525"/>
      <c r="IHB2" s="525"/>
      <c r="IHC2" s="525"/>
      <c r="IHD2" s="525"/>
      <c r="IHE2" s="525"/>
      <c r="IHF2" s="525"/>
      <c r="IHG2" s="525"/>
      <c r="IHH2" s="525"/>
      <c r="IHI2" s="525"/>
      <c r="IHJ2" s="525"/>
      <c r="IHK2" s="525"/>
      <c r="IHL2" s="525"/>
      <c r="IHM2" s="525"/>
      <c r="IHN2" s="525"/>
      <c r="IHO2" s="525"/>
      <c r="IHP2" s="525"/>
      <c r="IHQ2" s="525"/>
      <c r="IHR2" s="525"/>
      <c r="IHS2" s="525"/>
      <c r="IHT2" s="525"/>
      <c r="IHU2" s="525"/>
      <c r="IHV2" s="525"/>
      <c r="IHW2" s="525"/>
      <c r="IHX2" s="525"/>
      <c r="IHY2" s="525"/>
      <c r="IHZ2" s="525"/>
      <c r="IIA2" s="525"/>
      <c r="IIB2" s="525"/>
      <c r="IIC2" s="525"/>
      <c r="IID2" s="525"/>
      <c r="IIE2" s="525"/>
      <c r="IIF2" s="525"/>
      <c r="IIG2" s="525"/>
      <c r="IIH2" s="525"/>
      <c r="III2" s="525"/>
      <c r="IIJ2" s="525"/>
      <c r="IIK2" s="525"/>
      <c r="IIL2" s="525"/>
      <c r="IIM2" s="525"/>
      <c r="IIN2" s="525"/>
      <c r="IIO2" s="525"/>
      <c r="IIP2" s="525"/>
      <c r="IIQ2" s="525"/>
      <c r="IIR2" s="525"/>
      <c r="IIS2" s="525"/>
      <c r="IIT2" s="525"/>
      <c r="IIU2" s="525"/>
      <c r="IIV2" s="525"/>
      <c r="IIW2" s="525"/>
      <c r="IIX2" s="525"/>
      <c r="IIY2" s="525"/>
      <c r="IIZ2" s="525"/>
      <c r="IJA2" s="525"/>
      <c r="IJB2" s="525"/>
      <c r="IJC2" s="525"/>
      <c r="IJD2" s="525"/>
      <c r="IJE2" s="525"/>
      <c r="IJF2" s="525"/>
      <c r="IJG2" s="525"/>
      <c r="IJH2" s="525"/>
      <c r="IJI2" s="525"/>
      <c r="IJJ2" s="525"/>
      <c r="IJK2" s="525"/>
      <c r="IJL2" s="525"/>
      <c r="IJM2" s="525"/>
      <c r="IJN2" s="525"/>
      <c r="IJO2" s="525"/>
      <c r="IJP2" s="525"/>
      <c r="IJQ2" s="525"/>
      <c r="IJR2" s="525"/>
      <c r="IJS2" s="525"/>
      <c r="IJT2" s="525"/>
      <c r="IJU2" s="525"/>
      <c r="IJV2" s="525"/>
      <c r="IJW2" s="525"/>
      <c r="IJX2" s="525"/>
      <c r="IJY2" s="525"/>
      <c r="IJZ2" s="525"/>
      <c r="IKA2" s="525"/>
      <c r="IKB2" s="525"/>
      <c r="IKC2" s="525"/>
      <c r="IKD2" s="525"/>
      <c r="IKE2" s="525"/>
      <c r="IKF2" s="525"/>
      <c r="IKG2" s="525"/>
      <c r="IKH2" s="525"/>
      <c r="IKI2" s="525"/>
      <c r="IKJ2" s="525"/>
      <c r="IKK2" s="525"/>
      <c r="IKL2" s="525"/>
      <c r="IKM2" s="525"/>
      <c r="IKN2" s="525"/>
      <c r="IKO2" s="525"/>
      <c r="IKP2" s="525"/>
      <c r="IKQ2" s="525"/>
      <c r="IKR2" s="525"/>
      <c r="IKS2" s="525"/>
      <c r="IKT2" s="525"/>
      <c r="IKU2" s="525"/>
      <c r="IKV2" s="525"/>
      <c r="IKW2" s="525"/>
      <c r="IKX2" s="525"/>
      <c r="IKY2" s="525"/>
      <c r="IKZ2" s="525"/>
      <c r="ILA2" s="525"/>
      <c r="ILB2" s="525"/>
      <c r="ILC2" s="525"/>
      <c r="ILD2" s="525"/>
      <c r="ILE2" s="525"/>
      <c r="ILF2" s="525"/>
      <c r="ILG2" s="525"/>
      <c r="ILH2" s="525"/>
      <c r="ILI2" s="525"/>
      <c r="ILJ2" s="525"/>
      <c r="ILK2" s="525"/>
      <c r="ILL2" s="525"/>
      <c r="ILM2" s="525"/>
      <c r="ILN2" s="525"/>
      <c r="ILO2" s="525"/>
      <c r="ILP2" s="525"/>
      <c r="ILQ2" s="525"/>
      <c r="ILR2" s="525"/>
      <c r="ILS2" s="525"/>
      <c r="ILT2" s="525"/>
      <c r="ILU2" s="525"/>
      <c r="ILV2" s="525"/>
      <c r="ILW2" s="525"/>
      <c r="ILX2" s="525"/>
      <c r="ILY2" s="525"/>
      <c r="ILZ2" s="525"/>
      <c r="IMA2" s="525"/>
      <c r="IMB2" s="525"/>
      <c r="IMC2" s="525"/>
      <c r="IMD2" s="525"/>
      <c r="IME2" s="525"/>
      <c r="IMF2" s="525"/>
      <c r="IMG2" s="525"/>
      <c r="IMH2" s="525"/>
      <c r="IMI2" s="525"/>
      <c r="IMJ2" s="525"/>
      <c r="IMK2" s="525"/>
      <c r="IML2" s="525"/>
      <c r="IMM2" s="525"/>
      <c r="IMN2" s="525"/>
      <c r="IMO2" s="525"/>
      <c r="IMP2" s="525"/>
      <c r="IMQ2" s="525"/>
      <c r="IMR2" s="525"/>
      <c r="IMS2" s="525"/>
      <c r="IMT2" s="525"/>
      <c r="IMU2" s="525"/>
      <c r="IMV2" s="525"/>
      <c r="IMW2" s="525"/>
      <c r="IMX2" s="525"/>
      <c r="IMY2" s="525"/>
      <c r="IMZ2" s="525"/>
      <c r="INA2" s="525"/>
      <c r="INB2" s="525"/>
      <c r="INC2" s="525"/>
      <c r="IND2" s="525"/>
      <c r="INE2" s="525"/>
      <c r="INF2" s="525"/>
      <c r="ING2" s="525"/>
      <c r="INH2" s="525"/>
      <c r="INI2" s="525"/>
      <c r="INJ2" s="525"/>
      <c r="INK2" s="525"/>
      <c r="INL2" s="525"/>
      <c r="INM2" s="525"/>
      <c r="INN2" s="525"/>
      <c r="INO2" s="525"/>
      <c r="INP2" s="525"/>
      <c r="INQ2" s="525"/>
      <c r="INR2" s="525"/>
      <c r="INS2" s="525"/>
      <c r="INT2" s="525"/>
      <c r="INU2" s="525"/>
      <c r="INV2" s="525"/>
      <c r="INW2" s="525"/>
      <c r="INX2" s="525"/>
      <c r="INY2" s="525"/>
      <c r="INZ2" s="525"/>
      <c r="IOA2" s="525"/>
      <c r="IOB2" s="525"/>
      <c r="IOC2" s="525"/>
      <c r="IOD2" s="525"/>
      <c r="IOE2" s="525"/>
      <c r="IOF2" s="525"/>
      <c r="IOG2" s="525"/>
      <c r="IOH2" s="525"/>
      <c r="IOI2" s="525"/>
      <c r="IOJ2" s="525"/>
      <c r="IOK2" s="525"/>
      <c r="IOL2" s="525"/>
      <c r="IOM2" s="525"/>
      <c r="ION2" s="525"/>
      <c r="IOO2" s="525"/>
      <c r="IOP2" s="525"/>
      <c r="IOQ2" s="525"/>
      <c r="IOR2" s="525"/>
      <c r="IOS2" s="525"/>
      <c r="IOT2" s="525"/>
      <c r="IOU2" s="525"/>
      <c r="IOV2" s="525"/>
      <c r="IOW2" s="525"/>
      <c r="IOX2" s="525"/>
      <c r="IOY2" s="525"/>
      <c r="IOZ2" s="525"/>
      <c r="IPA2" s="525"/>
      <c r="IPB2" s="525"/>
      <c r="IPC2" s="525"/>
      <c r="IPD2" s="525"/>
      <c r="IPE2" s="525"/>
      <c r="IPF2" s="525"/>
      <c r="IPG2" s="525"/>
      <c r="IPH2" s="525"/>
      <c r="IPI2" s="525"/>
      <c r="IPJ2" s="525"/>
      <c r="IPK2" s="525"/>
      <c r="IPL2" s="525"/>
      <c r="IPM2" s="525"/>
      <c r="IPN2" s="525"/>
      <c r="IPO2" s="525"/>
      <c r="IPP2" s="525"/>
      <c r="IPQ2" s="525"/>
      <c r="IPR2" s="525"/>
      <c r="IPS2" s="525"/>
      <c r="IPT2" s="525"/>
      <c r="IPU2" s="525"/>
      <c r="IPV2" s="525"/>
      <c r="IPW2" s="525"/>
      <c r="IPX2" s="525"/>
      <c r="IPY2" s="525"/>
      <c r="IPZ2" s="525"/>
      <c r="IQA2" s="525"/>
      <c r="IQB2" s="525"/>
      <c r="IQC2" s="525"/>
      <c r="IQD2" s="525"/>
      <c r="IQE2" s="525"/>
      <c r="IQF2" s="525"/>
      <c r="IQG2" s="525"/>
      <c r="IQH2" s="525"/>
      <c r="IQI2" s="525"/>
      <c r="IQJ2" s="525"/>
      <c r="IQK2" s="525"/>
      <c r="IQL2" s="525"/>
      <c r="IQM2" s="525"/>
      <c r="IQN2" s="525"/>
      <c r="IQO2" s="525"/>
      <c r="IQP2" s="525"/>
      <c r="IQQ2" s="525"/>
      <c r="IQR2" s="525"/>
      <c r="IQS2" s="525"/>
      <c r="IQT2" s="525"/>
      <c r="IQU2" s="525"/>
      <c r="IQV2" s="525"/>
      <c r="IQW2" s="525"/>
      <c r="IQX2" s="525"/>
      <c r="IQY2" s="525"/>
      <c r="IQZ2" s="525"/>
      <c r="IRA2" s="525"/>
      <c r="IRB2" s="525"/>
      <c r="IRC2" s="525"/>
      <c r="IRD2" s="525"/>
      <c r="IRE2" s="525"/>
      <c r="IRF2" s="525"/>
      <c r="IRG2" s="525"/>
      <c r="IRH2" s="525"/>
      <c r="IRI2" s="525"/>
      <c r="IRJ2" s="525"/>
      <c r="IRK2" s="525"/>
      <c r="IRL2" s="525"/>
      <c r="IRM2" s="525"/>
      <c r="IRN2" s="525"/>
      <c r="IRO2" s="525"/>
      <c r="IRP2" s="525"/>
      <c r="IRQ2" s="525"/>
      <c r="IRR2" s="525"/>
      <c r="IRS2" s="525"/>
      <c r="IRT2" s="525"/>
      <c r="IRU2" s="525"/>
      <c r="IRV2" s="525"/>
      <c r="IRW2" s="525"/>
      <c r="IRX2" s="525"/>
      <c r="IRY2" s="525"/>
      <c r="IRZ2" s="525"/>
      <c r="ISA2" s="525"/>
      <c r="ISB2" s="525"/>
      <c r="ISC2" s="525"/>
      <c r="ISD2" s="525"/>
      <c r="ISE2" s="525"/>
      <c r="ISF2" s="525"/>
      <c r="ISG2" s="525"/>
      <c r="ISH2" s="525"/>
      <c r="ISI2" s="525"/>
      <c r="ISJ2" s="525"/>
      <c r="ISK2" s="525"/>
      <c r="ISL2" s="525"/>
      <c r="ISM2" s="525"/>
      <c r="ISN2" s="525"/>
      <c r="ISO2" s="525"/>
      <c r="ISP2" s="525"/>
      <c r="ISQ2" s="525"/>
      <c r="ISR2" s="525"/>
      <c r="ISS2" s="525"/>
      <c r="IST2" s="525"/>
      <c r="ISU2" s="525"/>
      <c r="ISV2" s="525"/>
      <c r="ISW2" s="525"/>
      <c r="ISX2" s="525"/>
      <c r="ISY2" s="525"/>
      <c r="ISZ2" s="525"/>
      <c r="ITA2" s="525"/>
      <c r="ITB2" s="525"/>
      <c r="ITC2" s="525"/>
      <c r="ITD2" s="525"/>
      <c r="ITE2" s="525"/>
      <c r="ITF2" s="525"/>
      <c r="ITG2" s="525"/>
      <c r="ITH2" s="525"/>
      <c r="ITI2" s="525"/>
      <c r="ITJ2" s="525"/>
      <c r="ITK2" s="525"/>
      <c r="ITL2" s="525"/>
      <c r="ITM2" s="525"/>
      <c r="ITN2" s="525"/>
      <c r="ITO2" s="525"/>
      <c r="ITP2" s="525"/>
      <c r="ITQ2" s="525"/>
      <c r="ITR2" s="525"/>
      <c r="ITS2" s="525"/>
      <c r="ITT2" s="525"/>
      <c r="ITU2" s="525"/>
      <c r="ITV2" s="525"/>
      <c r="ITW2" s="525"/>
      <c r="ITX2" s="525"/>
      <c r="ITY2" s="525"/>
      <c r="ITZ2" s="525"/>
      <c r="IUA2" s="525"/>
      <c r="IUB2" s="525"/>
      <c r="IUC2" s="525"/>
      <c r="IUD2" s="525"/>
      <c r="IUE2" s="525"/>
      <c r="IUF2" s="525"/>
      <c r="IUG2" s="525"/>
      <c r="IUH2" s="525"/>
      <c r="IUI2" s="525"/>
      <c r="IUJ2" s="525"/>
      <c r="IUK2" s="525"/>
      <c r="IUL2" s="525"/>
      <c r="IUM2" s="525"/>
      <c r="IUN2" s="525"/>
      <c r="IUO2" s="525"/>
      <c r="IUP2" s="525"/>
      <c r="IUQ2" s="525"/>
      <c r="IUR2" s="525"/>
      <c r="IUS2" s="525"/>
      <c r="IUT2" s="525"/>
      <c r="IUU2" s="525"/>
      <c r="IUV2" s="525"/>
      <c r="IUW2" s="525"/>
      <c r="IUX2" s="525"/>
      <c r="IUY2" s="525"/>
      <c r="IUZ2" s="525"/>
      <c r="IVA2" s="525"/>
      <c r="IVB2" s="525"/>
      <c r="IVC2" s="525"/>
      <c r="IVD2" s="525"/>
      <c r="IVE2" s="525"/>
      <c r="IVF2" s="525"/>
      <c r="IVG2" s="525"/>
      <c r="IVH2" s="525"/>
      <c r="IVI2" s="525"/>
      <c r="IVJ2" s="525"/>
      <c r="IVK2" s="525"/>
      <c r="IVL2" s="525"/>
      <c r="IVM2" s="525"/>
      <c r="IVN2" s="525"/>
      <c r="IVO2" s="525"/>
      <c r="IVP2" s="525"/>
      <c r="IVQ2" s="525"/>
      <c r="IVR2" s="525"/>
      <c r="IVS2" s="525"/>
      <c r="IVT2" s="525"/>
      <c r="IVU2" s="525"/>
      <c r="IVV2" s="525"/>
      <c r="IVW2" s="525"/>
      <c r="IVX2" s="525"/>
      <c r="IVY2" s="525"/>
      <c r="IVZ2" s="525"/>
      <c r="IWA2" s="525"/>
      <c r="IWB2" s="525"/>
      <c r="IWC2" s="525"/>
      <c r="IWD2" s="525"/>
      <c r="IWE2" s="525"/>
      <c r="IWF2" s="525"/>
      <c r="IWG2" s="525"/>
      <c r="IWH2" s="525"/>
      <c r="IWI2" s="525"/>
      <c r="IWJ2" s="525"/>
      <c r="IWK2" s="525"/>
      <c r="IWL2" s="525"/>
      <c r="IWM2" s="525"/>
      <c r="IWN2" s="525"/>
      <c r="IWO2" s="525"/>
      <c r="IWP2" s="525"/>
      <c r="IWQ2" s="525"/>
      <c r="IWR2" s="525"/>
      <c r="IWS2" s="525"/>
      <c r="IWT2" s="525"/>
      <c r="IWU2" s="525"/>
      <c r="IWV2" s="525"/>
      <c r="IWW2" s="525"/>
      <c r="IWX2" s="525"/>
      <c r="IWY2" s="525"/>
      <c r="IWZ2" s="525"/>
      <c r="IXA2" s="525"/>
      <c r="IXB2" s="525"/>
      <c r="IXC2" s="525"/>
      <c r="IXD2" s="525"/>
      <c r="IXE2" s="525"/>
      <c r="IXF2" s="525"/>
      <c r="IXG2" s="525"/>
      <c r="IXH2" s="525"/>
      <c r="IXI2" s="525"/>
      <c r="IXJ2" s="525"/>
      <c r="IXK2" s="525"/>
      <c r="IXL2" s="525"/>
      <c r="IXM2" s="525"/>
      <c r="IXN2" s="525"/>
      <c r="IXO2" s="525"/>
      <c r="IXP2" s="525"/>
      <c r="IXQ2" s="525"/>
      <c r="IXR2" s="525"/>
      <c r="IXS2" s="525"/>
      <c r="IXT2" s="525"/>
      <c r="IXU2" s="525"/>
      <c r="IXV2" s="525"/>
      <c r="IXW2" s="525"/>
      <c r="IXX2" s="525"/>
      <c r="IXY2" s="525"/>
      <c r="IXZ2" s="525"/>
      <c r="IYA2" s="525"/>
      <c r="IYB2" s="525"/>
      <c r="IYC2" s="525"/>
      <c r="IYD2" s="525"/>
      <c r="IYE2" s="525"/>
      <c r="IYF2" s="525"/>
      <c r="IYG2" s="525"/>
      <c r="IYH2" s="525"/>
      <c r="IYI2" s="525"/>
      <c r="IYJ2" s="525"/>
      <c r="IYK2" s="525"/>
      <c r="IYL2" s="525"/>
      <c r="IYM2" s="525"/>
      <c r="IYN2" s="525"/>
      <c r="IYO2" s="525"/>
      <c r="IYP2" s="525"/>
      <c r="IYQ2" s="525"/>
      <c r="IYR2" s="525"/>
      <c r="IYS2" s="525"/>
      <c r="IYT2" s="525"/>
      <c r="IYU2" s="525"/>
      <c r="IYV2" s="525"/>
      <c r="IYW2" s="525"/>
      <c r="IYX2" s="525"/>
      <c r="IYY2" s="525"/>
      <c r="IYZ2" s="525"/>
      <c r="IZA2" s="525"/>
      <c r="IZB2" s="525"/>
      <c r="IZC2" s="525"/>
      <c r="IZD2" s="525"/>
      <c r="IZE2" s="525"/>
      <c r="IZF2" s="525"/>
      <c r="IZG2" s="525"/>
      <c r="IZH2" s="525"/>
      <c r="IZI2" s="525"/>
      <c r="IZJ2" s="525"/>
      <c r="IZK2" s="525"/>
      <c r="IZL2" s="525"/>
      <c r="IZM2" s="525"/>
      <c r="IZN2" s="525"/>
      <c r="IZO2" s="525"/>
      <c r="IZP2" s="525"/>
      <c r="IZQ2" s="525"/>
      <c r="IZR2" s="525"/>
      <c r="IZS2" s="525"/>
      <c r="IZT2" s="525"/>
      <c r="IZU2" s="525"/>
      <c r="IZV2" s="525"/>
      <c r="IZW2" s="525"/>
      <c r="IZX2" s="525"/>
      <c r="IZY2" s="525"/>
      <c r="IZZ2" s="525"/>
      <c r="JAA2" s="525"/>
      <c r="JAB2" s="525"/>
      <c r="JAC2" s="525"/>
      <c r="JAD2" s="525"/>
      <c r="JAE2" s="525"/>
      <c r="JAF2" s="525"/>
      <c r="JAG2" s="525"/>
      <c r="JAH2" s="525"/>
      <c r="JAI2" s="525"/>
      <c r="JAJ2" s="525"/>
      <c r="JAK2" s="525"/>
      <c r="JAL2" s="525"/>
      <c r="JAM2" s="525"/>
      <c r="JAN2" s="525"/>
      <c r="JAO2" s="525"/>
      <c r="JAP2" s="525"/>
      <c r="JAQ2" s="525"/>
      <c r="JAR2" s="525"/>
      <c r="JAS2" s="525"/>
      <c r="JAT2" s="525"/>
      <c r="JAU2" s="525"/>
      <c r="JAV2" s="525"/>
      <c r="JAW2" s="525"/>
      <c r="JAX2" s="525"/>
      <c r="JAY2" s="525"/>
      <c r="JAZ2" s="525"/>
      <c r="JBA2" s="525"/>
      <c r="JBB2" s="525"/>
      <c r="JBC2" s="525"/>
      <c r="JBD2" s="525"/>
      <c r="JBE2" s="525"/>
      <c r="JBF2" s="525"/>
      <c r="JBG2" s="525"/>
      <c r="JBH2" s="525"/>
      <c r="JBI2" s="525"/>
      <c r="JBJ2" s="525"/>
      <c r="JBK2" s="525"/>
      <c r="JBL2" s="525"/>
      <c r="JBM2" s="525"/>
      <c r="JBN2" s="525"/>
      <c r="JBO2" s="525"/>
      <c r="JBP2" s="525"/>
      <c r="JBQ2" s="525"/>
      <c r="JBR2" s="525"/>
      <c r="JBS2" s="525"/>
      <c r="JBT2" s="525"/>
      <c r="JBU2" s="525"/>
      <c r="JBV2" s="525"/>
      <c r="JBW2" s="525"/>
      <c r="JBX2" s="525"/>
      <c r="JBY2" s="525"/>
      <c r="JBZ2" s="525"/>
      <c r="JCA2" s="525"/>
      <c r="JCB2" s="525"/>
      <c r="JCC2" s="525"/>
      <c r="JCD2" s="525"/>
      <c r="JCE2" s="525"/>
      <c r="JCF2" s="525"/>
      <c r="JCG2" s="525"/>
      <c r="JCH2" s="525"/>
      <c r="JCI2" s="525"/>
      <c r="JCJ2" s="525"/>
      <c r="JCK2" s="525"/>
      <c r="JCL2" s="525"/>
      <c r="JCM2" s="525"/>
      <c r="JCN2" s="525"/>
      <c r="JCO2" s="525"/>
      <c r="JCP2" s="525"/>
      <c r="JCQ2" s="525"/>
      <c r="JCR2" s="525"/>
      <c r="JCS2" s="525"/>
      <c r="JCT2" s="525"/>
      <c r="JCU2" s="525"/>
      <c r="JCV2" s="525"/>
      <c r="JCW2" s="525"/>
      <c r="JCX2" s="525"/>
      <c r="JCY2" s="525"/>
      <c r="JCZ2" s="525"/>
      <c r="JDA2" s="525"/>
      <c r="JDB2" s="525"/>
      <c r="JDC2" s="525"/>
      <c r="JDD2" s="525"/>
      <c r="JDE2" s="525"/>
      <c r="JDF2" s="525"/>
      <c r="JDG2" s="525"/>
      <c r="JDH2" s="525"/>
      <c r="JDI2" s="525"/>
      <c r="JDJ2" s="525"/>
      <c r="JDK2" s="525"/>
      <c r="JDL2" s="525"/>
      <c r="JDM2" s="525"/>
      <c r="JDN2" s="525"/>
      <c r="JDO2" s="525"/>
      <c r="JDP2" s="525"/>
      <c r="JDQ2" s="525"/>
      <c r="JDR2" s="525"/>
      <c r="JDS2" s="525"/>
      <c r="JDT2" s="525"/>
      <c r="JDU2" s="525"/>
      <c r="JDV2" s="525"/>
      <c r="JDW2" s="525"/>
      <c r="JDX2" s="525"/>
      <c r="JDY2" s="525"/>
      <c r="JDZ2" s="525"/>
      <c r="JEA2" s="525"/>
      <c r="JEB2" s="525"/>
      <c r="JEC2" s="525"/>
      <c r="JED2" s="525"/>
      <c r="JEE2" s="525"/>
      <c r="JEF2" s="525"/>
      <c r="JEG2" s="525"/>
      <c r="JEH2" s="525"/>
      <c r="JEI2" s="525"/>
      <c r="JEJ2" s="525"/>
      <c r="JEK2" s="525"/>
      <c r="JEL2" s="525"/>
      <c r="JEM2" s="525"/>
      <c r="JEN2" s="525"/>
      <c r="JEO2" s="525"/>
      <c r="JEP2" s="525"/>
      <c r="JEQ2" s="525"/>
      <c r="JER2" s="525"/>
      <c r="JES2" s="525"/>
      <c r="JET2" s="525"/>
      <c r="JEU2" s="525"/>
      <c r="JEV2" s="525"/>
      <c r="JEW2" s="525"/>
      <c r="JEX2" s="525"/>
      <c r="JEY2" s="525"/>
      <c r="JEZ2" s="525"/>
      <c r="JFA2" s="525"/>
      <c r="JFB2" s="525"/>
      <c r="JFC2" s="525"/>
      <c r="JFD2" s="525"/>
      <c r="JFE2" s="525"/>
      <c r="JFF2" s="525"/>
      <c r="JFG2" s="525"/>
      <c r="JFH2" s="525"/>
      <c r="JFI2" s="525"/>
      <c r="JFJ2" s="525"/>
      <c r="JFK2" s="525"/>
      <c r="JFL2" s="525"/>
      <c r="JFM2" s="525"/>
      <c r="JFN2" s="525"/>
      <c r="JFO2" s="525"/>
      <c r="JFP2" s="525"/>
      <c r="JFQ2" s="525"/>
      <c r="JFR2" s="525"/>
      <c r="JFS2" s="525"/>
      <c r="JFT2" s="525"/>
      <c r="JFU2" s="525"/>
      <c r="JFV2" s="525"/>
      <c r="JFW2" s="525"/>
      <c r="JFX2" s="525"/>
      <c r="JFY2" s="525"/>
      <c r="JFZ2" s="525"/>
      <c r="JGA2" s="525"/>
      <c r="JGB2" s="525"/>
      <c r="JGC2" s="525"/>
      <c r="JGD2" s="525"/>
      <c r="JGE2" s="525"/>
      <c r="JGF2" s="525"/>
      <c r="JGG2" s="525"/>
      <c r="JGH2" s="525"/>
      <c r="JGI2" s="525"/>
      <c r="JGJ2" s="525"/>
      <c r="JGK2" s="525"/>
      <c r="JGL2" s="525"/>
      <c r="JGM2" s="525"/>
      <c r="JGN2" s="525"/>
      <c r="JGO2" s="525"/>
      <c r="JGP2" s="525"/>
      <c r="JGQ2" s="525"/>
      <c r="JGR2" s="525"/>
      <c r="JGS2" s="525"/>
      <c r="JGT2" s="525"/>
      <c r="JGU2" s="525"/>
      <c r="JGV2" s="525"/>
      <c r="JGW2" s="525"/>
      <c r="JGX2" s="525"/>
      <c r="JGY2" s="525"/>
      <c r="JGZ2" s="525"/>
      <c r="JHA2" s="525"/>
      <c r="JHB2" s="525"/>
      <c r="JHC2" s="525"/>
      <c r="JHD2" s="525"/>
      <c r="JHE2" s="525"/>
      <c r="JHF2" s="525"/>
      <c r="JHG2" s="525"/>
      <c r="JHH2" s="525"/>
      <c r="JHI2" s="525"/>
      <c r="JHJ2" s="525"/>
      <c r="JHK2" s="525"/>
      <c r="JHL2" s="525"/>
      <c r="JHM2" s="525"/>
      <c r="JHN2" s="525"/>
      <c r="JHO2" s="525"/>
      <c r="JHP2" s="525"/>
      <c r="JHQ2" s="525"/>
      <c r="JHR2" s="525"/>
      <c r="JHS2" s="525"/>
      <c r="JHT2" s="525"/>
      <c r="JHU2" s="525"/>
      <c r="JHV2" s="525"/>
      <c r="JHW2" s="525"/>
      <c r="JHX2" s="525"/>
      <c r="JHY2" s="525"/>
      <c r="JHZ2" s="525"/>
      <c r="JIA2" s="525"/>
      <c r="JIB2" s="525"/>
      <c r="JIC2" s="525"/>
      <c r="JID2" s="525"/>
      <c r="JIE2" s="525"/>
      <c r="JIF2" s="525"/>
      <c r="JIG2" s="525"/>
      <c r="JIH2" s="525"/>
      <c r="JII2" s="525"/>
      <c r="JIJ2" s="525"/>
      <c r="JIK2" s="525"/>
      <c r="JIL2" s="525"/>
      <c r="JIM2" s="525"/>
      <c r="JIN2" s="525"/>
      <c r="JIO2" s="525"/>
      <c r="JIP2" s="525"/>
      <c r="JIQ2" s="525"/>
      <c r="JIR2" s="525"/>
      <c r="JIS2" s="525"/>
      <c r="JIT2" s="525"/>
      <c r="JIU2" s="525"/>
      <c r="JIV2" s="525"/>
      <c r="JIW2" s="525"/>
      <c r="JIX2" s="525"/>
      <c r="JIY2" s="525"/>
      <c r="JIZ2" s="525"/>
      <c r="JJA2" s="525"/>
      <c r="JJB2" s="525"/>
      <c r="JJC2" s="525"/>
      <c r="JJD2" s="525"/>
      <c r="JJE2" s="525"/>
      <c r="JJF2" s="525"/>
      <c r="JJG2" s="525"/>
      <c r="JJH2" s="525"/>
      <c r="JJI2" s="525"/>
      <c r="JJJ2" s="525"/>
      <c r="JJK2" s="525"/>
      <c r="JJL2" s="525"/>
      <c r="JJM2" s="525"/>
      <c r="JJN2" s="525"/>
      <c r="JJO2" s="525"/>
      <c r="JJP2" s="525"/>
      <c r="JJQ2" s="525"/>
      <c r="JJR2" s="525"/>
      <c r="JJS2" s="525"/>
      <c r="JJT2" s="525"/>
      <c r="JJU2" s="525"/>
      <c r="JJV2" s="525"/>
      <c r="JJW2" s="525"/>
      <c r="JJX2" s="525"/>
      <c r="JJY2" s="525"/>
      <c r="JJZ2" s="525"/>
      <c r="JKA2" s="525"/>
      <c r="JKB2" s="525"/>
      <c r="JKC2" s="525"/>
      <c r="JKD2" s="525"/>
      <c r="JKE2" s="525"/>
      <c r="JKF2" s="525"/>
      <c r="JKG2" s="525"/>
      <c r="JKH2" s="525"/>
      <c r="JKI2" s="525"/>
      <c r="JKJ2" s="525"/>
      <c r="JKK2" s="525"/>
      <c r="JKL2" s="525"/>
      <c r="JKM2" s="525"/>
      <c r="JKN2" s="525"/>
      <c r="JKO2" s="525"/>
      <c r="JKP2" s="525"/>
      <c r="JKQ2" s="525"/>
      <c r="JKR2" s="525"/>
      <c r="JKS2" s="525"/>
      <c r="JKT2" s="525"/>
      <c r="JKU2" s="525"/>
      <c r="JKV2" s="525"/>
      <c r="JKW2" s="525"/>
      <c r="JKX2" s="525"/>
      <c r="JKY2" s="525"/>
      <c r="JKZ2" s="525"/>
      <c r="JLA2" s="525"/>
      <c r="JLB2" s="525"/>
      <c r="JLC2" s="525"/>
      <c r="JLD2" s="525"/>
      <c r="JLE2" s="525"/>
      <c r="JLF2" s="525"/>
      <c r="JLG2" s="525"/>
      <c r="JLH2" s="525"/>
      <c r="JLI2" s="525"/>
      <c r="JLJ2" s="525"/>
      <c r="JLK2" s="525"/>
      <c r="JLL2" s="525"/>
      <c r="JLM2" s="525"/>
      <c r="JLN2" s="525"/>
      <c r="JLO2" s="525"/>
      <c r="JLP2" s="525"/>
      <c r="JLQ2" s="525"/>
      <c r="JLR2" s="525"/>
      <c r="JLS2" s="525"/>
      <c r="JLT2" s="525"/>
      <c r="JLU2" s="525"/>
      <c r="JLV2" s="525"/>
      <c r="JLW2" s="525"/>
      <c r="JLX2" s="525"/>
      <c r="JLY2" s="525"/>
      <c r="JLZ2" s="525"/>
      <c r="JMA2" s="525"/>
      <c r="JMB2" s="525"/>
      <c r="JMC2" s="525"/>
      <c r="JMD2" s="525"/>
      <c r="JME2" s="525"/>
      <c r="JMF2" s="525"/>
      <c r="JMG2" s="525"/>
      <c r="JMH2" s="525"/>
      <c r="JMI2" s="525"/>
      <c r="JMJ2" s="525"/>
      <c r="JMK2" s="525"/>
      <c r="JML2" s="525"/>
      <c r="JMM2" s="525"/>
      <c r="JMN2" s="525"/>
      <c r="JMO2" s="525"/>
      <c r="JMP2" s="525"/>
      <c r="JMQ2" s="525"/>
      <c r="JMR2" s="525"/>
      <c r="JMS2" s="525"/>
      <c r="JMT2" s="525"/>
      <c r="JMU2" s="525"/>
      <c r="JMV2" s="525"/>
      <c r="JMW2" s="525"/>
      <c r="JMX2" s="525"/>
      <c r="JMY2" s="525"/>
      <c r="JMZ2" s="525"/>
      <c r="JNA2" s="525"/>
      <c r="JNB2" s="525"/>
      <c r="JNC2" s="525"/>
      <c r="JND2" s="525"/>
      <c r="JNE2" s="525"/>
      <c r="JNF2" s="525"/>
      <c r="JNG2" s="525"/>
      <c r="JNH2" s="525"/>
      <c r="JNI2" s="525"/>
      <c r="JNJ2" s="525"/>
      <c r="JNK2" s="525"/>
      <c r="JNL2" s="525"/>
      <c r="JNM2" s="525"/>
      <c r="JNN2" s="525"/>
      <c r="JNO2" s="525"/>
      <c r="JNP2" s="525"/>
      <c r="JNQ2" s="525"/>
      <c r="JNR2" s="525"/>
      <c r="JNS2" s="525"/>
      <c r="JNT2" s="525"/>
      <c r="JNU2" s="525"/>
      <c r="JNV2" s="525"/>
      <c r="JNW2" s="525"/>
      <c r="JNX2" s="525"/>
      <c r="JNY2" s="525"/>
      <c r="JNZ2" s="525"/>
      <c r="JOA2" s="525"/>
      <c r="JOB2" s="525"/>
      <c r="JOC2" s="525"/>
      <c r="JOD2" s="525"/>
      <c r="JOE2" s="525"/>
      <c r="JOF2" s="525"/>
      <c r="JOG2" s="525"/>
      <c r="JOH2" s="525"/>
      <c r="JOI2" s="525"/>
      <c r="JOJ2" s="525"/>
      <c r="JOK2" s="525"/>
      <c r="JOL2" s="525"/>
      <c r="JOM2" s="525"/>
      <c r="JON2" s="525"/>
      <c r="JOO2" s="525"/>
      <c r="JOP2" s="525"/>
      <c r="JOQ2" s="525"/>
      <c r="JOR2" s="525"/>
      <c r="JOS2" s="525"/>
      <c r="JOT2" s="525"/>
      <c r="JOU2" s="525"/>
      <c r="JOV2" s="525"/>
      <c r="JOW2" s="525"/>
      <c r="JOX2" s="525"/>
      <c r="JOY2" s="525"/>
      <c r="JOZ2" s="525"/>
      <c r="JPA2" s="525"/>
      <c r="JPB2" s="525"/>
      <c r="JPC2" s="525"/>
      <c r="JPD2" s="525"/>
      <c r="JPE2" s="525"/>
      <c r="JPF2" s="525"/>
      <c r="JPG2" s="525"/>
      <c r="JPH2" s="525"/>
      <c r="JPI2" s="525"/>
      <c r="JPJ2" s="525"/>
      <c r="JPK2" s="525"/>
      <c r="JPL2" s="525"/>
      <c r="JPM2" s="525"/>
      <c r="JPN2" s="525"/>
      <c r="JPO2" s="525"/>
      <c r="JPP2" s="525"/>
      <c r="JPQ2" s="525"/>
      <c r="JPR2" s="525"/>
      <c r="JPS2" s="525"/>
      <c r="JPT2" s="525"/>
      <c r="JPU2" s="525"/>
      <c r="JPV2" s="525"/>
      <c r="JPW2" s="525"/>
      <c r="JPX2" s="525"/>
      <c r="JPY2" s="525"/>
      <c r="JPZ2" s="525"/>
      <c r="JQA2" s="525"/>
      <c r="JQB2" s="525"/>
      <c r="JQC2" s="525"/>
      <c r="JQD2" s="525"/>
      <c r="JQE2" s="525"/>
      <c r="JQF2" s="525"/>
      <c r="JQG2" s="525"/>
      <c r="JQH2" s="525"/>
      <c r="JQI2" s="525"/>
      <c r="JQJ2" s="525"/>
      <c r="JQK2" s="525"/>
      <c r="JQL2" s="525"/>
      <c r="JQM2" s="525"/>
      <c r="JQN2" s="525"/>
      <c r="JQO2" s="525"/>
      <c r="JQP2" s="525"/>
      <c r="JQQ2" s="525"/>
      <c r="JQR2" s="525"/>
      <c r="JQS2" s="525"/>
      <c r="JQT2" s="525"/>
      <c r="JQU2" s="525"/>
      <c r="JQV2" s="525"/>
      <c r="JQW2" s="525"/>
      <c r="JQX2" s="525"/>
      <c r="JQY2" s="525"/>
      <c r="JQZ2" s="525"/>
      <c r="JRA2" s="525"/>
      <c r="JRB2" s="525"/>
      <c r="JRC2" s="525"/>
      <c r="JRD2" s="525"/>
      <c r="JRE2" s="525"/>
      <c r="JRF2" s="525"/>
      <c r="JRG2" s="525"/>
      <c r="JRH2" s="525"/>
      <c r="JRI2" s="525"/>
      <c r="JRJ2" s="525"/>
      <c r="JRK2" s="525"/>
      <c r="JRL2" s="525"/>
      <c r="JRM2" s="525"/>
      <c r="JRN2" s="525"/>
      <c r="JRO2" s="525"/>
      <c r="JRP2" s="525"/>
      <c r="JRQ2" s="525"/>
      <c r="JRR2" s="525"/>
      <c r="JRS2" s="525"/>
      <c r="JRT2" s="525"/>
      <c r="JRU2" s="525"/>
      <c r="JRV2" s="525"/>
      <c r="JRW2" s="525"/>
      <c r="JRX2" s="525"/>
      <c r="JRY2" s="525"/>
      <c r="JRZ2" s="525"/>
      <c r="JSA2" s="525"/>
      <c r="JSB2" s="525"/>
      <c r="JSC2" s="525"/>
      <c r="JSD2" s="525"/>
      <c r="JSE2" s="525"/>
      <c r="JSF2" s="525"/>
      <c r="JSG2" s="525"/>
      <c r="JSH2" s="525"/>
      <c r="JSI2" s="525"/>
      <c r="JSJ2" s="525"/>
      <c r="JSK2" s="525"/>
      <c r="JSL2" s="525"/>
      <c r="JSM2" s="525"/>
      <c r="JSN2" s="525"/>
      <c r="JSO2" s="525"/>
      <c r="JSP2" s="525"/>
      <c r="JSQ2" s="525"/>
      <c r="JSR2" s="525"/>
      <c r="JSS2" s="525"/>
      <c r="JST2" s="525"/>
      <c r="JSU2" s="525"/>
      <c r="JSV2" s="525"/>
      <c r="JSW2" s="525"/>
      <c r="JSX2" s="525"/>
      <c r="JSY2" s="525"/>
      <c r="JSZ2" s="525"/>
      <c r="JTA2" s="525"/>
      <c r="JTB2" s="525"/>
      <c r="JTC2" s="525"/>
      <c r="JTD2" s="525"/>
      <c r="JTE2" s="525"/>
      <c r="JTF2" s="525"/>
      <c r="JTG2" s="525"/>
      <c r="JTH2" s="525"/>
      <c r="JTI2" s="525"/>
      <c r="JTJ2" s="525"/>
      <c r="JTK2" s="525"/>
      <c r="JTL2" s="525"/>
      <c r="JTM2" s="525"/>
      <c r="JTN2" s="525"/>
      <c r="JTO2" s="525"/>
      <c r="JTP2" s="525"/>
      <c r="JTQ2" s="525"/>
      <c r="JTR2" s="525"/>
      <c r="JTS2" s="525"/>
      <c r="JTT2" s="525"/>
      <c r="JTU2" s="525"/>
      <c r="JTV2" s="525"/>
      <c r="JTW2" s="525"/>
      <c r="JTX2" s="525"/>
      <c r="JTY2" s="525"/>
      <c r="JTZ2" s="525"/>
      <c r="JUA2" s="525"/>
      <c r="JUB2" s="525"/>
      <c r="JUC2" s="525"/>
      <c r="JUD2" s="525"/>
      <c r="JUE2" s="525"/>
      <c r="JUF2" s="525"/>
      <c r="JUG2" s="525"/>
      <c r="JUH2" s="525"/>
      <c r="JUI2" s="525"/>
      <c r="JUJ2" s="525"/>
      <c r="JUK2" s="525"/>
      <c r="JUL2" s="525"/>
      <c r="JUM2" s="525"/>
      <c r="JUN2" s="525"/>
      <c r="JUO2" s="525"/>
      <c r="JUP2" s="525"/>
      <c r="JUQ2" s="525"/>
      <c r="JUR2" s="525"/>
      <c r="JUS2" s="525"/>
      <c r="JUT2" s="525"/>
      <c r="JUU2" s="525"/>
      <c r="JUV2" s="525"/>
      <c r="JUW2" s="525"/>
      <c r="JUX2" s="525"/>
      <c r="JUY2" s="525"/>
      <c r="JUZ2" s="525"/>
      <c r="JVA2" s="525"/>
      <c r="JVB2" s="525"/>
      <c r="JVC2" s="525"/>
      <c r="JVD2" s="525"/>
      <c r="JVE2" s="525"/>
      <c r="JVF2" s="525"/>
      <c r="JVG2" s="525"/>
      <c r="JVH2" s="525"/>
      <c r="JVI2" s="525"/>
      <c r="JVJ2" s="525"/>
      <c r="JVK2" s="525"/>
      <c r="JVL2" s="525"/>
      <c r="JVM2" s="525"/>
      <c r="JVN2" s="525"/>
      <c r="JVO2" s="525"/>
      <c r="JVP2" s="525"/>
      <c r="JVQ2" s="525"/>
      <c r="JVR2" s="525"/>
      <c r="JVS2" s="525"/>
      <c r="JVT2" s="525"/>
      <c r="JVU2" s="525"/>
      <c r="JVV2" s="525"/>
      <c r="JVW2" s="525"/>
      <c r="JVX2" s="525"/>
      <c r="JVY2" s="525"/>
      <c r="JVZ2" s="525"/>
      <c r="JWA2" s="525"/>
      <c r="JWB2" s="525"/>
      <c r="JWC2" s="525"/>
      <c r="JWD2" s="525"/>
      <c r="JWE2" s="525"/>
      <c r="JWF2" s="525"/>
      <c r="JWG2" s="525"/>
      <c r="JWH2" s="525"/>
      <c r="JWI2" s="525"/>
      <c r="JWJ2" s="525"/>
      <c r="JWK2" s="525"/>
      <c r="JWL2" s="525"/>
      <c r="JWM2" s="525"/>
      <c r="JWN2" s="525"/>
      <c r="JWO2" s="525"/>
      <c r="JWP2" s="525"/>
      <c r="JWQ2" s="525"/>
      <c r="JWR2" s="525"/>
      <c r="JWS2" s="525"/>
      <c r="JWT2" s="525"/>
      <c r="JWU2" s="525"/>
      <c r="JWV2" s="525"/>
      <c r="JWW2" s="525"/>
      <c r="JWX2" s="525"/>
      <c r="JWY2" s="525"/>
      <c r="JWZ2" s="525"/>
      <c r="JXA2" s="525"/>
      <c r="JXB2" s="525"/>
      <c r="JXC2" s="525"/>
      <c r="JXD2" s="525"/>
      <c r="JXE2" s="525"/>
      <c r="JXF2" s="525"/>
      <c r="JXG2" s="525"/>
      <c r="JXH2" s="525"/>
      <c r="JXI2" s="525"/>
      <c r="JXJ2" s="525"/>
      <c r="JXK2" s="525"/>
      <c r="JXL2" s="525"/>
      <c r="JXM2" s="525"/>
      <c r="JXN2" s="525"/>
      <c r="JXO2" s="525"/>
      <c r="JXP2" s="525"/>
      <c r="JXQ2" s="525"/>
      <c r="JXR2" s="525"/>
      <c r="JXS2" s="525"/>
      <c r="JXT2" s="525"/>
      <c r="JXU2" s="525"/>
      <c r="JXV2" s="525"/>
      <c r="JXW2" s="525"/>
      <c r="JXX2" s="525"/>
      <c r="JXY2" s="525"/>
      <c r="JXZ2" s="525"/>
      <c r="JYA2" s="525"/>
      <c r="JYB2" s="525"/>
      <c r="JYC2" s="525"/>
      <c r="JYD2" s="525"/>
      <c r="JYE2" s="525"/>
      <c r="JYF2" s="525"/>
      <c r="JYG2" s="525"/>
      <c r="JYH2" s="525"/>
      <c r="JYI2" s="525"/>
      <c r="JYJ2" s="525"/>
      <c r="JYK2" s="525"/>
      <c r="JYL2" s="525"/>
      <c r="JYM2" s="525"/>
      <c r="JYN2" s="525"/>
      <c r="JYO2" s="525"/>
      <c r="JYP2" s="525"/>
      <c r="JYQ2" s="525"/>
      <c r="JYR2" s="525"/>
      <c r="JYS2" s="525"/>
      <c r="JYT2" s="525"/>
      <c r="JYU2" s="525"/>
      <c r="JYV2" s="525"/>
      <c r="JYW2" s="525"/>
      <c r="JYX2" s="525"/>
      <c r="JYY2" s="525"/>
      <c r="JYZ2" s="525"/>
      <c r="JZA2" s="525"/>
      <c r="JZB2" s="525"/>
      <c r="JZC2" s="525"/>
      <c r="JZD2" s="525"/>
      <c r="JZE2" s="525"/>
      <c r="JZF2" s="525"/>
      <c r="JZG2" s="525"/>
      <c r="JZH2" s="525"/>
      <c r="JZI2" s="525"/>
      <c r="JZJ2" s="525"/>
      <c r="JZK2" s="525"/>
      <c r="JZL2" s="525"/>
      <c r="JZM2" s="525"/>
      <c r="JZN2" s="525"/>
      <c r="JZO2" s="525"/>
      <c r="JZP2" s="525"/>
      <c r="JZQ2" s="525"/>
      <c r="JZR2" s="525"/>
      <c r="JZS2" s="525"/>
      <c r="JZT2" s="525"/>
      <c r="JZU2" s="525"/>
      <c r="JZV2" s="525"/>
      <c r="JZW2" s="525"/>
      <c r="JZX2" s="525"/>
      <c r="JZY2" s="525"/>
      <c r="JZZ2" s="525"/>
      <c r="KAA2" s="525"/>
      <c r="KAB2" s="525"/>
      <c r="KAC2" s="525"/>
      <c r="KAD2" s="525"/>
      <c r="KAE2" s="525"/>
      <c r="KAF2" s="525"/>
      <c r="KAG2" s="525"/>
      <c r="KAH2" s="525"/>
      <c r="KAI2" s="525"/>
      <c r="KAJ2" s="525"/>
      <c r="KAK2" s="525"/>
      <c r="KAL2" s="525"/>
      <c r="KAM2" s="525"/>
      <c r="KAN2" s="525"/>
      <c r="KAO2" s="525"/>
      <c r="KAP2" s="525"/>
      <c r="KAQ2" s="525"/>
      <c r="KAR2" s="525"/>
      <c r="KAS2" s="525"/>
      <c r="KAT2" s="525"/>
      <c r="KAU2" s="525"/>
      <c r="KAV2" s="525"/>
      <c r="KAW2" s="525"/>
      <c r="KAX2" s="525"/>
      <c r="KAY2" s="525"/>
      <c r="KAZ2" s="525"/>
      <c r="KBA2" s="525"/>
      <c r="KBB2" s="525"/>
      <c r="KBC2" s="525"/>
      <c r="KBD2" s="525"/>
      <c r="KBE2" s="525"/>
      <c r="KBF2" s="525"/>
      <c r="KBG2" s="525"/>
      <c r="KBH2" s="525"/>
      <c r="KBI2" s="525"/>
      <c r="KBJ2" s="525"/>
      <c r="KBK2" s="525"/>
      <c r="KBL2" s="525"/>
      <c r="KBM2" s="525"/>
      <c r="KBN2" s="525"/>
      <c r="KBO2" s="525"/>
      <c r="KBP2" s="525"/>
      <c r="KBQ2" s="525"/>
      <c r="KBR2" s="525"/>
      <c r="KBS2" s="525"/>
      <c r="KBT2" s="525"/>
      <c r="KBU2" s="525"/>
      <c r="KBV2" s="525"/>
      <c r="KBW2" s="525"/>
      <c r="KBX2" s="525"/>
      <c r="KBY2" s="525"/>
      <c r="KBZ2" s="525"/>
      <c r="KCA2" s="525"/>
      <c r="KCB2" s="525"/>
      <c r="KCC2" s="525"/>
      <c r="KCD2" s="525"/>
      <c r="KCE2" s="525"/>
      <c r="KCF2" s="525"/>
      <c r="KCG2" s="525"/>
      <c r="KCH2" s="525"/>
      <c r="KCI2" s="525"/>
      <c r="KCJ2" s="525"/>
      <c r="KCK2" s="525"/>
      <c r="KCL2" s="525"/>
      <c r="KCM2" s="525"/>
      <c r="KCN2" s="525"/>
      <c r="KCO2" s="525"/>
      <c r="KCP2" s="525"/>
      <c r="KCQ2" s="525"/>
      <c r="KCR2" s="525"/>
      <c r="KCS2" s="525"/>
      <c r="KCT2" s="525"/>
      <c r="KCU2" s="525"/>
      <c r="KCV2" s="525"/>
      <c r="KCW2" s="525"/>
      <c r="KCX2" s="525"/>
      <c r="KCY2" s="525"/>
      <c r="KCZ2" s="525"/>
      <c r="KDA2" s="525"/>
      <c r="KDB2" s="525"/>
      <c r="KDC2" s="525"/>
      <c r="KDD2" s="525"/>
      <c r="KDE2" s="525"/>
      <c r="KDF2" s="525"/>
      <c r="KDG2" s="525"/>
      <c r="KDH2" s="525"/>
      <c r="KDI2" s="525"/>
      <c r="KDJ2" s="525"/>
      <c r="KDK2" s="525"/>
      <c r="KDL2" s="525"/>
      <c r="KDM2" s="525"/>
      <c r="KDN2" s="525"/>
      <c r="KDO2" s="525"/>
      <c r="KDP2" s="525"/>
      <c r="KDQ2" s="525"/>
      <c r="KDR2" s="525"/>
      <c r="KDS2" s="525"/>
      <c r="KDT2" s="525"/>
      <c r="KDU2" s="525"/>
      <c r="KDV2" s="525"/>
      <c r="KDW2" s="525"/>
      <c r="KDX2" s="525"/>
      <c r="KDY2" s="525"/>
      <c r="KDZ2" s="525"/>
      <c r="KEA2" s="525"/>
      <c r="KEB2" s="525"/>
      <c r="KEC2" s="525"/>
      <c r="KED2" s="525"/>
      <c r="KEE2" s="525"/>
      <c r="KEF2" s="525"/>
      <c r="KEG2" s="525"/>
      <c r="KEH2" s="525"/>
      <c r="KEI2" s="525"/>
      <c r="KEJ2" s="525"/>
      <c r="KEK2" s="525"/>
      <c r="KEL2" s="525"/>
      <c r="KEM2" s="525"/>
      <c r="KEN2" s="525"/>
      <c r="KEO2" s="525"/>
      <c r="KEP2" s="525"/>
      <c r="KEQ2" s="525"/>
      <c r="KER2" s="525"/>
      <c r="KES2" s="525"/>
      <c r="KET2" s="525"/>
      <c r="KEU2" s="525"/>
      <c r="KEV2" s="525"/>
      <c r="KEW2" s="525"/>
      <c r="KEX2" s="525"/>
      <c r="KEY2" s="525"/>
      <c r="KEZ2" s="525"/>
      <c r="KFA2" s="525"/>
      <c r="KFB2" s="525"/>
      <c r="KFC2" s="525"/>
      <c r="KFD2" s="525"/>
      <c r="KFE2" s="525"/>
      <c r="KFF2" s="525"/>
      <c r="KFG2" s="525"/>
      <c r="KFH2" s="525"/>
      <c r="KFI2" s="525"/>
      <c r="KFJ2" s="525"/>
      <c r="KFK2" s="525"/>
      <c r="KFL2" s="525"/>
      <c r="KFM2" s="525"/>
      <c r="KFN2" s="525"/>
      <c r="KFO2" s="525"/>
      <c r="KFP2" s="525"/>
      <c r="KFQ2" s="525"/>
      <c r="KFR2" s="525"/>
      <c r="KFS2" s="525"/>
      <c r="KFT2" s="525"/>
      <c r="KFU2" s="525"/>
      <c r="KFV2" s="525"/>
      <c r="KFW2" s="525"/>
      <c r="KFX2" s="525"/>
      <c r="KFY2" s="525"/>
      <c r="KFZ2" s="525"/>
      <c r="KGA2" s="525"/>
      <c r="KGB2" s="525"/>
      <c r="KGC2" s="525"/>
      <c r="KGD2" s="525"/>
      <c r="KGE2" s="525"/>
      <c r="KGF2" s="525"/>
      <c r="KGG2" s="525"/>
      <c r="KGH2" s="525"/>
      <c r="KGI2" s="525"/>
      <c r="KGJ2" s="525"/>
      <c r="KGK2" s="525"/>
      <c r="KGL2" s="525"/>
      <c r="KGM2" s="525"/>
      <c r="KGN2" s="525"/>
      <c r="KGO2" s="525"/>
      <c r="KGP2" s="525"/>
      <c r="KGQ2" s="525"/>
      <c r="KGR2" s="525"/>
      <c r="KGS2" s="525"/>
      <c r="KGT2" s="525"/>
      <c r="KGU2" s="525"/>
      <c r="KGV2" s="525"/>
      <c r="KGW2" s="525"/>
      <c r="KGX2" s="525"/>
      <c r="KGY2" s="525"/>
      <c r="KGZ2" s="525"/>
      <c r="KHA2" s="525"/>
      <c r="KHB2" s="525"/>
      <c r="KHC2" s="525"/>
      <c r="KHD2" s="525"/>
      <c r="KHE2" s="525"/>
      <c r="KHF2" s="525"/>
      <c r="KHG2" s="525"/>
      <c r="KHH2" s="525"/>
      <c r="KHI2" s="525"/>
      <c r="KHJ2" s="525"/>
      <c r="KHK2" s="525"/>
      <c r="KHL2" s="525"/>
      <c r="KHM2" s="525"/>
      <c r="KHN2" s="525"/>
      <c r="KHO2" s="525"/>
      <c r="KHP2" s="525"/>
      <c r="KHQ2" s="525"/>
      <c r="KHR2" s="525"/>
      <c r="KHS2" s="525"/>
      <c r="KHT2" s="525"/>
      <c r="KHU2" s="525"/>
      <c r="KHV2" s="525"/>
      <c r="KHW2" s="525"/>
      <c r="KHX2" s="525"/>
      <c r="KHY2" s="525"/>
      <c r="KHZ2" s="525"/>
      <c r="KIA2" s="525"/>
      <c r="KIB2" s="525"/>
      <c r="KIC2" s="525"/>
      <c r="KID2" s="525"/>
      <c r="KIE2" s="525"/>
      <c r="KIF2" s="525"/>
      <c r="KIG2" s="525"/>
      <c r="KIH2" s="525"/>
      <c r="KII2" s="525"/>
      <c r="KIJ2" s="525"/>
      <c r="KIK2" s="525"/>
      <c r="KIL2" s="525"/>
      <c r="KIM2" s="525"/>
      <c r="KIN2" s="525"/>
      <c r="KIO2" s="525"/>
      <c r="KIP2" s="525"/>
      <c r="KIQ2" s="525"/>
      <c r="KIR2" s="525"/>
      <c r="KIS2" s="525"/>
      <c r="KIT2" s="525"/>
      <c r="KIU2" s="525"/>
      <c r="KIV2" s="525"/>
      <c r="KIW2" s="525"/>
      <c r="KIX2" s="525"/>
      <c r="KIY2" s="525"/>
      <c r="KIZ2" s="525"/>
      <c r="KJA2" s="525"/>
      <c r="KJB2" s="525"/>
      <c r="KJC2" s="525"/>
      <c r="KJD2" s="525"/>
      <c r="KJE2" s="525"/>
      <c r="KJF2" s="525"/>
      <c r="KJG2" s="525"/>
      <c r="KJH2" s="525"/>
      <c r="KJI2" s="525"/>
      <c r="KJJ2" s="525"/>
      <c r="KJK2" s="525"/>
      <c r="KJL2" s="525"/>
      <c r="KJM2" s="525"/>
      <c r="KJN2" s="525"/>
      <c r="KJO2" s="525"/>
      <c r="KJP2" s="525"/>
      <c r="KJQ2" s="525"/>
      <c r="KJR2" s="525"/>
      <c r="KJS2" s="525"/>
      <c r="KJT2" s="525"/>
      <c r="KJU2" s="525"/>
      <c r="KJV2" s="525"/>
      <c r="KJW2" s="525"/>
      <c r="KJX2" s="525"/>
      <c r="KJY2" s="525"/>
      <c r="KJZ2" s="525"/>
      <c r="KKA2" s="525"/>
      <c r="KKB2" s="525"/>
      <c r="KKC2" s="525"/>
      <c r="KKD2" s="525"/>
      <c r="KKE2" s="525"/>
      <c r="KKF2" s="525"/>
      <c r="KKG2" s="525"/>
      <c r="KKH2" s="525"/>
      <c r="KKI2" s="525"/>
      <c r="KKJ2" s="525"/>
      <c r="KKK2" s="525"/>
      <c r="KKL2" s="525"/>
      <c r="KKM2" s="525"/>
      <c r="KKN2" s="525"/>
      <c r="KKO2" s="525"/>
      <c r="KKP2" s="525"/>
      <c r="KKQ2" s="525"/>
      <c r="KKR2" s="525"/>
      <c r="KKS2" s="525"/>
      <c r="KKT2" s="525"/>
      <c r="KKU2" s="525"/>
      <c r="KKV2" s="525"/>
      <c r="KKW2" s="525"/>
      <c r="KKX2" s="525"/>
      <c r="KKY2" s="525"/>
      <c r="KKZ2" s="525"/>
      <c r="KLA2" s="525"/>
      <c r="KLB2" s="525"/>
      <c r="KLC2" s="525"/>
      <c r="KLD2" s="525"/>
      <c r="KLE2" s="525"/>
      <c r="KLF2" s="525"/>
      <c r="KLG2" s="525"/>
      <c r="KLH2" s="525"/>
      <c r="KLI2" s="525"/>
      <c r="KLJ2" s="525"/>
      <c r="KLK2" s="525"/>
      <c r="KLL2" s="525"/>
      <c r="KLM2" s="525"/>
      <c r="KLN2" s="525"/>
      <c r="KLO2" s="525"/>
      <c r="KLP2" s="525"/>
      <c r="KLQ2" s="525"/>
      <c r="KLR2" s="525"/>
      <c r="KLS2" s="525"/>
      <c r="KLT2" s="525"/>
      <c r="KLU2" s="525"/>
      <c r="KLV2" s="525"/>
      <c r="KLW2" s="525"/>
      <c r="KLX2" s="525"/>
      <c r="KLY2" s="525"/>
      <c r="KLZ2" s="525"/>
      <c r="KMA2" s="525"/>
      <c r="KMB2" s="525"/>
      <c r="KMC2" s="525"/>
      <c r="KMD2" s="525"/>
      <c r="KME2" s="525"/>
      <c r="KMF2" s="525"/>
      <c r="KMG2" s="525"/>
      <c r="KMH2" s="525"/>
      <c r="KMI2" s="525"/>
      <c r="KMJ2" s="525"/>
      <c r="KMK2" s="525"/>
      <c r="KML2" s="525"/>
      <c r="KMM2" s="525"/>
      <c r="KMN2" s="525"/>
      <c r="KMO2" s="525"/>
      <c r="KMP2" s="525"/>
      <c r="KMQ2" s="525"/>
      <c r="KMR2" s="525"/>
      <c r="KMS2" s="525"/>
      <c r="KMT2" s="525"/>
      <c r="KMU2" s="525"/>
      <c r="KMV2" s="525"/>
      <c r="KMW2" s="525"/>
      <c r="KMX2" s="525"/>
      <c r="KMY2" s="525"/>
      <c r="KMZ2" s="525"/>
      <c r="KNA2" s="525"/>
      <c r="KNB2" s="525"/>
      <c r="KNC2" s="525"/>
      <c r="KND2" s="525"/>
      <c r="KNE2" s="525"/>
      <c r="KNF2" s="525"/>
      <c r="KNG2" s="525"/>
      <c r="KNH2" s="525"/>
      <c r="KNI2" s="525"/>
      <c r="KNJ2" s="525"/>
      <c r="KNK2" s="525"/>
      <c r="KNL2" s="525"/>
      <c r="KNM2" s="525"/>
      <c r="KNN2" s="525"/>
      <c r="KNO2" s="525"/>
      <c r="KNP2" s="525"/>
      <c r="KNQ2" s="525"/>
      <c r="KNR2" s="525"/>
      <c r="KNS2" s="525"/>
      <c r="KNT2" s="525"/>
      <c r="KNU2" s="525"/>
      <c r="KNV2" s="525"/>
      <c r="KNW2" s="525"/>
      <c r="KNX2" s="525"/>
      <c r="KNY2" s="525"/>
      <c r="KNZ2" s="525"/>
      <c r="KOA2" s="525"/>
      <c r="KOB2" s="525"/>
      <c r="KOC2" s="525"/>
      <c r="KOD2" s="525"/>
      <c r="KOE2" s="525"/>
      <c r="KOF2" s="525"/>
      <c r="KOG2" s="525"/>
      <c r="KOH2" s="525"/>
      <c r="KOI2" s="525"/>
      <c r="KOJ2" s="525"/>
      <c r="KOK2" s="525"/>
      <c r="KOL2" s="525"/>
      <c r="KOM2" s="525"/>
      <c r="KON2" s="525"/>
      <c r="KOO2" s="525"/>
      <c r="KOP2" s="525"/>
      <c r="KOQ2" s="525"/>
      <c r="KOR2" s="525"/>
      <c r="KOS2" s="525"/>
      <c r="KOT2" s="525"/>
      <c r="KOU2" s="525"/>
      <c r="KOV2" s="525"/>
      <c r="KOW2" s="525"/>
      <c r="KOX2" s="525"/>
      <c r="KOY2" s="525"/>
      <c r="KOZ2" s="525"/>
      <c r="KPA2" s="525"/>
      <c r="KPB2" s="525"/>
      <c r="KPC2" s="525"/>
      <c r="KPD2" s="525"/>
      <c r="KPE2" s="525"/>
      <c r="KPF2" s="525"/>
      <c r="KPG2" s="525"/>
      <c r="KPH2" s="525"/>
      <c r="KPI2" s="525"/>
      <c r="KPJ2" s="525"/>
      <c r="KPK2" s="525"/>
      <c r="KPL2" s="525"/>
      <c r="KPM2" s="525"/>
      <c r="KPN2" s="525"/>
      <c r="KPO2" s="525"/>
      <c r="KPP2" s="525"/>
      <c r="KPQ2" s="525"/>
      <c r="KPR2" s="525"/>
      <c r="KPS2" s="525"/>
      <c r="KPT2" s="525"/>
      <c r="KPU2" s="525"/>
      <c r="KPV2" s="525"/>
      <c r="KPW2" s="525"/>
      <c r="KPX2" s="525"/>
      <c r="KPY2" s="525"/>
      <c r="KPZ2" s="525"/>
      <c r="KQA2" s="525"/>
      <c r="KQB2" s="525"/>
      <c r="KQC2" s="525"/>
      <c r="KQD2" s="525"/>
      <c r="KQE2" s="525"/>
      <c r="KQF2" s="525"/>
      <c r="KQG2" s="525"/>
      <c r="KQH2" s="525"/>
      <c r="KQI2" s="525"/>
      <c r="KQJ2" s="525"/>
      <c r="KQK2" s="525"/>
      <c r="KQL2" s="525"/>
      <c r="KQM2" s="525"/>
      <c r="KQN2" s="525"/>
      <c r="KQO2" s="525"/>
      <c r="KQP2" s="525"/>
      <c r="KQQ2" s="525"/>
      <c r="KQR2" s="525"/>
      <c r="KQS2" s="525"/>
      <c r="KQT2" s="525"/>
      <c r="KQU2" s="525"/>
      <c r="KQV2" s="525"/>
      <c r="KQW2" s="525"/>
      <c r="KQX2" s="525"/>
      <c r="KQY2" s="525"/>
      <c r="KQZ2" s="525"/>
      <c r="KRA2" s="525"/>
      <c r="KRB2" s="525"/>
      <c r="KRC2" s="525"/>
      <c r="KRD2" s="525"/>
      <c r="KRE2" s="525"/>
      <c r="KRF2" s="525"/>
      <c r="KRG2" s="525"/>
      <c r="KRH2" s="525"/>
      <c r="KRI2" s="525"/>
      <c r="KRJ2" s="525"/>
      <c r="KRK2" s="525"/>
      <c r="KRL2" s="525"/>
      <c r="KRM2" s="525"/>
      <c r="KRN2" s="525"/>
      <c r="KRO2" s="525"/>
      <c r="KRP2" s="525"/>
      <c r="KRQ2" s="525"/>
      <c r="KRR2" s="525"/>
      <c r="KRS2" s="525"/>
      <c r="KRT2" s="525"/>
      <c r="KRU2" s="525"/>
      <c r="KRV2" s="525"/>
      <c r="KRW2" s="525"/>
      <c r="KRX2" s="525"/>
      <c r="KRY2" s="525"/>
      <c r="KRZ2" s="525"/>
      <c r="KSA2" s="525"/>
      <c r="KSB2" s="525"/>
      <c r="KSC2" s="525"/>
      <c r="KSD2" s="525"/>
      <c r="KSE2" s="525"/>
      <c r="KSF2" s="525"/>
      <c r="KSG2" s="525"/>
      <c r="KSH2" s="525"/>
      <c r="KSI2" s="525"/>
      <c r="KSJ2" s="525"/>
      <c r="KSK2" s="525"/>
      <c r="KSL2" s="525"/>
      <c r="KSM2" s="525"/>
      <c r="KSN2" s="525"/>
      <c r="KSO2" s="525"/>
      <c r="KSP2" s="525"/>
      <c r="KSQ2" s="525"/>
      <c r="KSR2" s="525"/>
      <c r="KSS2" s="525"/>
      <c r="KST2" s="525"/>
      <c r="KSU2" s="525"/>
      <c r="KSV2" s="525"/>
      <c r="KSW2" s="525"/>
      <c r="KSX2" s="525"/>
      <c r="KSY2" s="525"/>
      <c r="KSZ2" s="525"/>
      <c r="KTA2" s="525"/>
      <c r="KTB2" s="525"/>
      <c r="KTC2" s="525"/>
      <c r="KTD2" s="525"/>
      <c r="KTE2" s="525"/>
      <c r="KTF2" s="525"/>
      <c r="KTG2" s="525"/>
      <c r="KTH2" s="525"/>
      <c r="KTI2" s="525"/>
      <c r="KTJ2" s="525"/>
      <c r="KTK2" s="525"/>
      <c r="KTL2" s="525"/>
      <c r="KTM2" s="525"/>
      <c r="KTN2" s="525"/>
      <c r="KTO2" s="525"/>
      <c r="KTP2" s="525"/>
      <c r="KTQ2" s="525"/>
      <c r="KTR2" s="525"/>
      <c r="KTS2" s="525"/>
      <c r="KTT2" s="525"/>
      <c r="KTU2" s="525"/>
      <c r="KTV2" s="525"/>
      <c r="KTW2" s="525"/>
      <c r="KTX2" s="525"/>
      <c r="KTY2" s="525"/>
      <c r="KTZ2" s="525"/>
      <c r="KUA2" s="525"/>
      <c r="KUB2" s="525"/>
      <c r="KUC2" s="525"/>
      <c r="KUD2" s="525"/>
      <c r="KUE2" s="525"/>
      <c r="KUF2" s="525"/>
      <c r="KUG2" s="525"/>
      <c r="KUH2" s="525"/>
      <c r="KUI2" s="525"/>
      <c r="KUJ2" s="525"/>
      <c r="KUK2" s="525"/>
      <c r="KUL2" s="525"/>
      <c r="KUM2" s="525"/>
      <c r="KUN2" s="525"/>
      <c r="KUO2" s="525"/>
      <c r="KUP2" s="525"/>
      <c r="KUQ2" s="525"/>
      <c r="KUR2" s="525"/>
      <c r="KUS2" s="525"/>
      <c r="KUT2" s="525"/>
      <c r="KUU2" s="525"/>
      <c r="KUV2" s="525"/>
      <c r="KUW2" s="525"/>
      <c r="KUX2" s="525"/>
      <c r="KUY2" s="525"/>
      <c r="KUZ2" s="525"/>
      <c r="KVA2" s="525"/>
      <c r="KVB2" s="525"/>
      <c r="KVC2" s="525"/>
      <c r="KVD2" s="525"/>
      <c r="KVE2" s="525"/>
      <c r="KVF2" s="525"/>
      <c r="KVG2" s="525"/>
      <c r="KVH2" s="525"/>
      <c r="KVI2" s="525"/>
      <c r="KVJ2" s="525"/>
      <c r="KVK2" s="525"/>
      <c r="KVL2" s="525"/>
      <c r="KVM2" s="525"/>
      <c r="KVN2" s="525"/>
      <c r="KVO2" s="525"/>
      <c r="KVP2" s="525"/>
      <c r="KVQ2" s="525"/>
      <c r="KVR2" s="525"/>
      <c r="KVS2" s="525"/>
      <c r="KVT2" s="525"/>
      <c r="KVU2" s="525"/>
      <c r="KVV2" s="525"/>
      <c r="KVW2" s="525"/>
      <c r="KVX2" s="525"/>
      <c r="KVY2" s="525"/>
      <c r="KVZ2" s="525"/>
      <c r="KWA2" s="525"/>
      <c r="KWB2" s="525"/>
      <c r="KWC2" s="525"/>
      <c r="KWD2" s="525"/>
      <c r="KWE2" s="525"/>
      <c r="KWF2" s="525"/>
      <c r="KWG2" s="525"/>
      <c r="KWH2" s="525"/>
      <c r="KWI2" s="525"/>
      <c r="KWJ2" s="525"/>
      <c r="KWK2" s="525"/>
      <c r="KWL2" s="525"/>
      <c r="KWM2" s="525"/>
      <c r="KWN2" s="525"/>
      <c r="KWO2" s="525"/>
      <c r="KWP2" s="525"/>
      <c r="KWQ2" s="525"/>
      <c r="KWR2" s="525"/>
      <c r="KWS2" s="525"/>
      <c r="KWT2" s="525"/>
      <c r="KWU2" s="525"/>
      <c r="KWV2" s="525"/>
      <c r="KWW2" s="525"/>
      <c r="KWX2" s="525"/>
      <c r="KWY2" s="525"/>
      <c r="KWZ2" s="525"/>
      <c r="KXA2" s="525"/>
      <c r="KXB2" s="525"/>
      <c r="KXC2" s="525"/>
      <c r="KXD2" s="525"/>
      <c r="KXE2" s="525"/>
      <c r="KXF2" s="525"/>
      <c r="KXG2" s="525"/>
      <c r="KXH2" s="525"/>
      <c r="KXI2" s="525"/>
      <c r="KXJ2" s="525"/>
      <c r="KXK2" s="525"/>
      <c r="KXL2" s="525"/>
      <c r="KXM2" s="525"/>
      <c r="KXN2" s="525"/>
      <c r="KXO2" s="525"/>
      <c r="KXP2" s="525"/>
      <c r="KXQ2" s="525"/>
      <c r="KXR2" s="525"/>
      <c r="KXS2" s="525"/>
      <c r="KXT2" s="525"/>
      <c r="KXU2" s="525"/>
      <c r="KXV2" s="525"/>
      <c r="KXW2" s="525"/>
      <c r="KXX2" s="525"/>
      <c r="KXY2" s="525"/>
      <c r="KXZ2" s="525"/>
      <c r="KYA2" s="525"/>
      <c r="KYB2" s="525"/>
      <c r="KYC2" s="525"/>
      <c r="KYD2" s="525"/>
      <c r="KYE2" s="525"/>
      <c r="KYF2" s="525"/>
      <c r="KYG2" s="525"/>
      <c r="KYH2" s="525"/>
      <c r="KYI2" s="525"/>
      <c r="KYJ2" s="525"/>
      <c r="KYK2" s="525"/>
      <c r="KYL2" s="525"/>
      <c r="KYM2" s="525"/>
      <c r="KYN2" s="525"/>
      <c r="KYO2" s="525"/>
      <c r="KYP2" s="525"/>
      <c r="KYQ2" s="525"/>
      <c r="KYR2" s="525"/>
      <c r="KYS2" s="525"/>
      <c r="KYT2" s="525"/>
      <c r="KYU2" s="525"/>
      <c r="KYV2" s="525"/>
      <c r="KYW2" s="525"/>
      <c r="KYX2" s="525"/>
      <c r="KYY2" s="525"/>
      <c r="KYZ2" s="525"/>
      <c r="KZA2" s="525"/>
      <c r="KZB2" s="525"/>
      <c r="KZC2" s="525"/>
      <c r="KZD2" s="525"/>
      <c r="KZE2" s="525"/>
      <c r="KZF2" s="525"/>
      <c r="KZG2" s="525"/>
      <c r="KZH2" s="525"/>
      <c r="KZI2" s="525"/>
      <c r="KZJ2" s="525"/>
      <c r="KZK2" s="525"/>
      <c r="KZL2" s="525"/>
      <c r="KZM2" s="525"/>
      <c r="KZN2" s="525"/>
      <c r="KZO2" s="525"/>
      <c r="KZP2" s="525"/>
      <c r="KZQ2" s="525"/>
      <c r="KZR2" s="525"/>
      <c r="KZS2" s="525"/>
      <c r="KZT2" s="525"/>
      <c r="KZU2" s="525"/>
      <c r="KZV2" s="525"/>
      <c r="KZW2" s="525"/>
      <c r="KZX2" s="525"/>
      <c r="KZY2" s="525"/>
      <c r="KZZ2" s="525"/>
      <c r="LAA2" s="525"/>
      <c r="LAB2" s="525"/>
      <c r="LAC2" s="525"/>
      <c r="LAD2" s="525"/>
      <c r="LAE2" s="525"/>
      <c r="LAF2" s="525"/>
      <c r="LAG2" s="525"/>
      <c r="LAH2" s="525"/>
      <c r="LAI2" s="525"/>
      <c r="LAJ2" s="525"/>
      <c r="LAK2" s="525"/>
      <c r="LAL2" s="525"/>
      <c r="LAM2" s="525"/>
      <c r="LAN2" s="525"/>
      <c r="LAO2" s="525"/>
      <c r="LAP2" s="525"/>
      <c r="LAQ2" s="525"/>
      <c r="LAR2" s="525"/>
      <c r="LAS2" s="525"/>
      <c r="LAT2" s="525"/>
      <c r="LAU2" s="525"/>
      <c r="LAV2" s="525"/>
      <c r="LAW2" s="525"/>
      <c r="LAX2" s="525"/>
      <c r="LAY2" s="525"/>
      <c r="LAZ2" s="525"/>
      <c r="LBA2" s="525"/>
      <c r="LBB2" s="525"/>
      <c r="LBC2" s="525"/>
      <c r="LBD2" s="525"/>
      <c r="LBE2" s="525"/>
      <c r="LBF2" s="525"/>
      <c r="LBG2" s="525"/>
      <c r="LBH2" s="525"/>
      <c r="LBI2" s="525"/>
      <c r="LBJ2" s="525"/>
      <c r="LBK2" s="525"/>
      <c r="LBL2" s="525"/>
      <c r="LBM2" s="525"/>
      <c r="LBN2" s="525"/>
      <c r="LBO2" s="525"/>
      <c r="LBP2" s="525"/>
      <c r="LBQ2" s="525"/>
      <c r="LBR2" s="525"/>
      <c r="LBS2" s="525"/>
      <c r="LBT2" s="525"/>
      <c r="LBU2" s="525"/>
      <c r="LBV2" s="525"/>
      <c r="LBW2" s="525"/>
      <c r="LBX2" s="525"/>
      <c r="LBY2" s="525"/>
      <c r="LBZ2" s="525"/>
      <c r="LCA2" s="525"/>
      <c r="LCB2" s="525"/>
      <c r="LCC2" s="525"/>
      <c r="LCD2" s="525"/>
      <c r="LCE2" s="525"/>
      <c r="LCF2" s="525"/>
      <c r="LCG2" s="525"/>
      <c r="LCH2" s="525"/>
      <c r="LCI2" s="525"/>
      <c r="LCJ2" s="525"/>
      <c r="LCK2" s="525"/>
      <c r="LCL2" s="525"/>
      <c r="LCM2" s="525"/>
      <c r="LCN2" s="525"/>
      <c r="LCO2" s="525"/>
      <c r="LCP2" s="525"/>
      <c r="LCQ2" s="525"/>
      <c r="LCR2" s="525"/>
      <c r="LCS2" s="525"/>
      <c r="LCT2" s="525"/>
      <c r="LCU2" s="525"/>
      <c r="LCV2" s="525"/>
      <c r="LCW2" s="525"/>
      <c r="LCX2" s="525"/>
      <c r="LCY2" s="525"/>
      <c r="LCZ2" s="525"/>
      <c r="LDA2" s="525"/>
      <c r="LDB2" s="525"/>
      <c r="LDC2" s="525"/>
      <c r="LDD2" s="525"/>
      <c r="LDE2" s="525"/>
      <c r="LDF2" s="525"/>
      <c r="LDG2" s="525"/>
      <c r="LDH2" s="525"/>
      <c r="LDI2" s="525"/>
      <c r="LDJ2" s="525"/>
      <c r="LDK2" s="525"/>
      <c r="LDL2" s="525"/>
      <c r="LDM2" s="525"/>
      <c r="LDN2" s="525"/>
      <c r="LDO2" s="525"/>
      <c r="LDP2" s="525"/>
      <c r="LDQ2" s="525"/>
      <c r="LDR2" s="525"/>
      <c r="LDS2" s="525"/>
      <c r="LDT2" s="525"/>
      <c r="LDU2" s="525"/>
      <c r="LDV2" s="525"/>
      <c r="LDW2" s="525"/>
      <c r="LDX2" s="525"/>
      <c r="LDY2" s="525"/>
      <c r="LDZ2" s="525"/>
      <c r="LEA2" s="525"/>
      <c r="LEB2" s="525"/>
      <c r="LEC2" s="525"/>
      <c r="LED2" s="525"/>
      <c r="LEE2" s="525"/>
      <c r="LEF2" s="525"/>
      <c r="LEG2" s="525"/>
      <c r="LEH2" s="525"/>
      <c r="LEI2" s="525"/>
      <c r="LEJ2" s="525"/>
      <c r="LEK2" s="525"/>
      <c r="LEL2" s="525"/>
      <c r="LEM2" s="525"/>
      <c r="LEN2" s="525"/>
      <c r="LEO2" s="525"/>
      <c r="LEP2" s="525"/>
      <c r="LEQ2" s="525"/>
      <c r="LER2" s="525"/>
      <c r="LES2" s="525"/>
      <c r="LET2" s="525"/>
      <c r="LEU2" s="525"/>
      <c r="LEV2" s="525"/>
      <c r="LEW2" s="525"/>
      <c r="LEX2" s="525"/>
      <c r="LEY2" s="525"/>
      <c r="LEZ2" s="525"/>
      <c r="LFA2" s="525"/>
      <c r="LFB2" s="525"/>
      <c r="LFC2" s="525"/>
      <c r="LFD2" s="525"/>
      <c r="LFE2" s="525"/>
      <c r="LFF2" s="525"/>
      <c r="LFG2" s="525"/>
      <c r="LFH2" s="525"/>
      <c r="LFI2" s="525"/>
      <c r="LFJ2" s="525"/>
      <c r="LFK2" s="525"/>
      <c r="LFL2" s="525"/>
      <c r="LFM2" s="525"/>
      <c r="LFN2" s="525"/>
      <c r="LFO2" s="525"/>
      <c r="LFP2" s="525"/>
      <c r="LFQ2" s="525"/>
      <c r="LFR2" s="525"/>
      <c r="LFS2" s="525"/>
      <c r="LFT2" s="525"/>
      <c r="LFU2" s="525"/>
      <c r="LFV2" s="525"/>
      <c r="LFW2" s="525"/>
      <c r="LFX2" s="525"/>
      <c r="LFY2" s="525"/>
      <c r="LFZ2" s="525"/>
      <c r="LGA2" s="525"/>
      <c r="LGB2" s="525"/>
      <c r="LGC2" s="525"/>
      <c r="LGD2" s="525"/>
      <c r="LGE2" s="525"/>
      <c r="LGF2" s="525"/>
      <c r="LGG2" s="525"/>
      <c r="LGH2" s="525"/>
      <c r="LGI2" s="525"/>
      <c r="LGJ2" s="525"/>
      <c r="LGK2" s="525"/>
      <c r="LGL2" s="525"/>
      <c r="LGM2" s="525"/>
      <c r="LGN2" s="525"/>
      <c r="LGO2" s="525"/>
      <c r="LGP2" s="525"/>
      <c r="LGQ2" s="525"/>
      <c r="LGR2" s="525"/>
      <c r="LGS2" s="525"/>
      <c r="LGT2" s="525"/>
      <c r="LGU2" s="525"/>
      <c r="LGV2" s="525"/>
      <c r="LGW2" s="525"/>
      <c r="LGX2" s="525"/>
      <c r="LGY2" s="525"/>
      <c r="LGZ2" s="525"/>
      <c r="LHA2" s="525"/>
      <c r="LHB2" s="525"/>
      <c r="LHC2" s="525"/>
      <c r="LHD2" s="525"/>
      <c r="LHE2" s="525"/>
      <c r="LHF2" s="525"/>
      <c r="LHG2" s="525"/>
      <c r="LHH2" s="525"/>
      <c r="LHI2" s="525"/>
      <c r="LHJ2" s="525"/>
      <c r="LHK2" s="525"/>
      <c r="LHL2" s="525"/>
      <c r="LHM2" s="525"/>
      <c r="LHN2" s="525"/>
      <c r="LHO2" s="525"/>
      <c r="LHP2" s="525"/>
      <c r="LHQ2" s="525"/>
      <c r="LHR2" s="525"/>
      <c r="LHS2" s="525"/>
      <c r="LHT2" s="525"/>
      <c r="LHU2" s="525"/>
      <c r="LHV2" s="525"/>
      <c r="LHW2" s="525"/>
      <c r="LHX2" s="525"/>
      <c r="LHY2" s="525"/>
      <c r="LHZ2" s="525"/>
      <c r="LIA2" s="525"/>
      <c r="LIB2" s="525"/>
      <c r="LIC2" s="525"/>
      <c r="LID2" s="525"/>
      <c r="LIE2" s="525"/>
      <c r="LIF2" s="525"/>
      <c r="LIG2" s="525"/>
      <c r="LIH2" s="525"/>
      <c r="LII2" s="525"/>
      <c r="LIJ2" s="525"/>
      <c r="LIK2" s="525"/>
      <c r="LIL2" s="525"/>
      <c r="LIM2" s="525"/>
      <c r="LIN2" s="525"/>
      <c r="LIO2" s="525"/>
      <c r="LIP2" s="525"/>
      <c r="LIQ2" s="525"/>
      <c r="LIR2" s="525"/>
      <c r="LIS2" s="525"/>
      <c r="LIT2" s="525"/>
      <c r="LIU2" s="525"/>
      <c r="LIV2" s="525"/>
      <c r="LIW2" s="525"/>
      <c r="LIX2" s="525"/>
      <c r="LIY2" s="525"/>
      <c r="LIZ2" s="525"/>
      <c r="LJA2" s="525"/>
      <c r="LJB2" s="525"/>
      <c r="LJC2" s="525"/>
      <c r="LJD2" s="525"/>
      <c r="LJE2" s="525"/>
      <c r="LJF2" s="525"/>
      <c r="LJG2" s="525"/>
      <c r="LJH2" s="525"/>
      <c r="LJI2" s="525"/>
      <c r="LJJ2" s="525"/>
      <c r="LJK2" s="525"/>
      <c r="LJL2" s="525"/>
      <c r="LJM2" s="525"/>
      <c r="LJN2" s="525"/>
      <c r="LJO2" s="525"/>
      <c r="LJP2" s="525"/>
      <c r="LJQ2" s="525"/>
      <c r="LJR2" s="525"/>
      <c r="LJS2" s="525"/>
      <c r="LJT2" s="525"/>
      <c r="LJU2" s="525"/>
      <c r="LJV2" s="525"/>
      <c r="LJW2" s="525"/>
      <c r="LJX2" s="525"/>
      <c r="LJY2" s="525"/>
      <c r="LJZ2" s="525"/>
      <c r="LKA2" s="525"/>
      <c r="LKB2" s="525"/>
      <c r="LKC2" s="525"/>
      <c r="LKD2" s="525"/>
      <c r="LKE2" s="525"/>
      <c r="LKF2" s="525"/>
      <c r="LKG2" s="525"/>
      <c r="LKH2" s="525"/>
      <c r="LKI2" s="525"/>
      <c r="LKJ2" s="525"/>
      <c r="LKK2" s="525"/>
      <c r="LKL2" s="525"/>
      <c r="LKM2" s="525"/>
      <c r="LKN2" s="525"/>
      <c r="LKO2" s="525"/>
      <c r="LKP2" s="525"/>
      <c r="LKQ2" s="525"/>
      <c r="LKR2" s="525"/>
      <c r="LKS2" s="525"/>
      <c r="LKT2" s="525"/>
      <c r="LKU2" s="525"/>
      <c r="LKV2" s="525"/>
      <c r="LKW2" s="525"/>
      <c r="LKX2" s="525"/>
      <c r="LKY2" s="525"/>
      <c r="LKZ2" s="525"/>
      <c r="LLA2" s="525"/>
      <c r="LLB2" s="525"/>
      <c r="LLC2" s="525"/>
      <c r="LLD2" s="525"/>
      <c r="LLE2" s="525"/>
      <c r="LLF2" s="525"/>
      <c r="LLG2" s="525"/>
      <c r="LLH2" s="525"/>
      <c r="LLI2" s="525"/>
      <c r="LLJ2" s="525"/>
      <c r="LLK2" s="525"/>
      <c r="LLL2" s="525"/>
      <c r="LLM2" s="525"/>
      <c r="LLN2" s="525"/>
      <c r="LLO2" s="525"/>
      <c r="LLP2" s="525"/>
      <c r="LLQ2" s="525"/>
      <c r="LLR2" s="525"/>
      <c r="LLS2" s="525"/>
      <c r="LLT2" s="525"/>
      <c r="LLU2" s="525"/>
      <c r="LLV2" s="525"/>
      <c r="LLW2" s="525"/>
      <c r="LLX2" s="525"/>
      <c r="LLY2" s="525"/>
      <c r="LLZ2" s="525"/>
      <c r="LMA2" s="525"/>
      <c r="LMB2" s="525"/>
      <c r="LMC2" s="525"/>
      <c r="LMD2" s="525"/>
      <c r="LME2" s="525"/>
      <c r="LMF2" s="525"/>
      <c r="LMG2" s="525"/>
      <c r="LMH2" s="525"/>
      <c r="LMI2" s="525"/>
      <c r="LMJ2" s="525"/>
      <c r="LMK2" s="525"/>
      <c r="LML2" s="525"/>
      <c r="LMM2" s="525"/>
      <c r="LMN2" s="525"/>
      <c r="LMO2" s="525"/>
      <c r="LMP2" s="525"/>
      <c r="LMQ2" s="525"/>
      <c r="LMR2" s="525"/>
      <c r="LMS2" s="525"/>
      <c r="LMT2" s="525"/>
      <c r="LMU2" s="525"/>
      <c r="LMV2" s="525"/>
      <c r="LMW2" s="525"/>
      <c r="LMX2" s="525"/>
      <c r="LMY2" s="525"/>
      <c r="LMZ2" s="525"/>
      <c r="LNA2" s="525"/>
      <c r="LNB2" s="525"/>
      <c r="LNC2" s="525"/>
      <c r="LND2" s="525"/>
      <c r="LNE2" s="525"/>
      <c r="LNF2" s="525"/>
      <c r="LNG2" s="525"/>
      <c r="LNH2" s="525"/>
      <c r="LNI2" s="525"/>
      <c r="LNJ2" s="525"/>
      <c r="LNK2" s="525"/>
      <c r="LNL2" s="525"/>
      <c r="LNM2" s="525"/>
      <c r="LNN2" s="525"/>
      <c r="LNO2" s="525"/>
      <c r="LNP2" s="525"/>
      <c r="LNQ2" s="525"/>
      <c r="LNR2" s="525"/>
      <c r="LNS2" s="525"/>
      <c r="LNT2" s="525"/>
      <c r="LNU2" s="525"/>
      <c r="LNV2" s="525"/>
      <c r="LNW2" s="525"/>
      <c r="LNX2" s="525"/>
      <c r="LNY2" s="525"/>
      <c r="LNZ2" s="525"/>
      <c r="LOA2" s="525"/>
      <c r="LOB2" s="525"/>
      <c r="LOC2" s="525"/>
      <c r="LOD2" s="525"/>
      <c r="LOE2" s="525"/>
      <c r="LOF2" s="525"/>
      <c r="LOG2" s="525"/>
      <c r="LOH2" s="525"/>
      <c r="LOI2" s="525"/>
      <c r="LOJ2" s="525"/>
      <c r="LOK2" s="525"/>
      <c r="LOL2" s="525"/>
      <c r="LOM2" s="525"/>
      <c r="LON2" s="525"/>
      <c r="LOO2" s="525"/>
      <c r="LOP2" s="525"/>
      <c r="LOQ2" s="525"/>
      <c r="LOR2" s="525"/>
      <c r="LOS2" s="525"/>
      <c r="LOT2" s="525"/>
      <c r="LOU2" s="525"/>
      <c r="LOV2" s="525"/>
      <c r="LOW2" s="525"/>
      <c r="LOX2" s="525"/>
      <c r="LOY2" s="525"/>
      <c r="LOZ2" s="525"/>
      <c r="LPA2" s="525"/>
      <c r="LPB2" s="525"/>
      <c r="LPC2" s="525"/>
      <c r="LPD2" s="525"/>
      <c r="LPE2" s="525"/>
      <c r="LPF2" s="525"/>
      <c r="LPG2" s="525"/>
      <c r="LPH2" s="525"/>
      <c r="LPI2" s="525"/>
      <c r="LPJ2" s="525"/>
      <c r="LPK2" s="525"/>
      <c r="LPL2" s="525"/>
      <c r="LPM2" s="525"/>
      <c r="LPN2" s="525"/>
      <c r="LPO2" s="525"/>
      <c r="LPP2" s="525"/>
      <c r="LPQ2" s="525"/>
      <c r="LPR2" s="525"/>
      <c r="LPS2" s="525"/>
      <c r="LPT2" s="525"/>
      <c r="LPU2" s="525"/>
      <c r="LPV2" s="525"/>
      <c r="LPW2" s="525"/>
      <c r="LPX2" s="525"/>
      <c r="LPY2" s="525"/>
      <c r="LPZ2" s="525"/>
      <c r="LQA2" s="525"/>
      <c r="LQB2" s="525"/>
      <c r="LQC2" s="525"/>
      <c r="LQD2" s="525"/>
      <c r="LQE2" s="525"/>
      <c r="LQF2" s="525"/>
      <c r="LQG2" s="525"/>
      <c r="LQH2" s="525"/>
      <c r="LQI2" s="525"/>
      <c r="LQJ2" s="525"/>
      <c r="LQK2" s="525"/>
      <c r="LQL2" s="525"/>
      <c r="LQM2" s="525"/>
      <c r="LQN2" s="525"/>
      <c r="LQO2" s="525"/>
      <c r="LQP2" s="525"/>
      <c r="LQQ2" s="525"/>
      <c r="LQR2" s="525"/>
      <c r="LQS2" s="525"/>
      <c r="LQT2" s="525"/>
      <c r="LQU2" s="525"/>
      <c r="LQV2" s="525"/>
      <c r="LQW2" s="525"/>
      <c r="LQX2" s="525"/>
      <c r="LQY2" s="525"/>
      <c r="LQZ2" s="525"/>
      <c r="LRA2" s="525"/>
      <c r="LRB2" s="525"/>
      <c r="LRC2" s="525"/>
      <c r="LRD2" s="525"/>
      <c r="LRE2" s="525"/>
      <c r="LRF2" s="525"/>
      <c r="LRG2" s="525"/>
      <c r="LRH2" s="525"/>
      <c r="LRI2" s="525"/>
      <c r="LRJ2" s="525"/>
      <c r="LRK2" s="525"/>
      <c r="LRL2" s="525"/>
      <c r="LRM2" s="525"/>
      <c r="LRN2" s="525"/>
      <c r="LRO2" s="525"/>
      <c r="LRP2" s="525"/>
      <c r="LRQ2" s="525"/>
      <c r="LRR2" s="525"/>
      <c r="LRS2" s="525"/>
      <c r="LRT2" s="525"/>
      <c r="LRU2" s="525"/>
      <c r="LRV2" s="525"/>
      <c r="LRW2" s="525"/>
      <c r="LRX2" s="525"/>
      <c r="LRY2" s="525"/>
      <c r="LRZ2" s="525"/>
      <c r="LSA2" s="525"/>
      <c r="LSB2" s="525"/>
      <c r="LSC2" s="525"/>
      <c r="LSD2" s="525"/>
      <c r="LSE2" s="525"/>
      <c r="LSF2" s="525"/>
      <c r="LSG2" s="525"/>
      <c r="LSH2" s="525"/>
      <c r="LSI2" s="525"/>
      <c r="LSJ2" s="525"/>
      <c r="LSK2" s="525"/>
      <c r="LSL2" s="525"/>
      <c r="LSM2" s="525"/>
      <c r="LSN2" s="525"/>
      <c r="LSO2" s="525"/>
      <c r="LSP2" s="525"/>
      <c r="LSQ2" s="525"/>
      <c r="LSR2" s="525"/>
      <c r="LSS2" s="525"/>
      <c r="LST2" s="525"/>
      <c r="LSU2" s="525"/>
      <c r="LSV2" s="525"/>
      <c r="LSW2" s="525"/>
      <c r="LSX2" s="525"/>
      <c r="LSY2" s="525"/>
      <c r="LSZ2" s="525"/>
      <c r="LTA2" s="525"/>
      <c r="LTB2" s="525"/>
      <c r="LTC2" s="525"/>
      <c r="LTD2" s="525"/>
      <c r="LTE2" s="525"/>
      <c r="LTF2" s="525"/>
      <c r="LTG2" s="525"/>
      <c r="LTH2" s="525"/>
      <c r="LTI2" s="525"/>
      <c r="LTJ2" s="525"/>
      <c r="LTK2" s="525"/>
      <c r="LTL2" s="525"/>
      <c r="LTM2" s="525"/>
      <c r="LTN2" s="525"/>
      <c r="LTO2" s="525"/>
      <c r="LTP2" s="525"/>
      <c r="LTQ2" s="525"/>
      <c r="LTR2" s="525"/>
      <c r="LTS2" s="525"/>
      <c r="LTT2" s="525"/>
      <c r="LTU2" s="525"/>
      <c r="LTV2" s="525"/>
      <c r="LTW2" s="525"/>
      <c r="LTX2" s="525"/>
      <c r="LTY2" s="525"/>
      <c r="LTZ2" s="525"/>
      <c r="LUA2" s="525"/>
      <c r="LUB2" s="525"/>
      <c r="LUC2" s="525"/>
      <c r="LUD2" s="525"/>
      <c r="LUE2" s="525"/>
      <c r="LUF2" s="525"/>
      <c r="LUG2" s="525"/>
      <c r="LUH2" s="525"/>
      <c r="LUI2" s="525"/>
      <c r="LUJ2" s="525"/>
      <c r="LUK2" s="525"/>
      <c r="LUL2" s="525"/>
      <c r="LUM2" s="525"/>
      <c r="LUN2" s="525"/>
      <c r="LUO2" s="525"/>
      <c r="LUP2" s="525"/>
      <c r="LUQ2" s="525"/>
      <c r="LUR2" s="525"/>
      <c r="LUS2" s="525"/>
      <c r="LUT2" s="525"/>
      <c r="LUU2" s="525"/>
      <c r="LUV2" s="525"/>
      <c r="LUW2" s="525"/>
      <c r="LUX2" s="525"/>
      <c r="LUY2" s="525"/>
      <c r="LUZ2" s="525"/>
      <c r="LVA2" s="525"/>
      <c r="LVB2" s="525"/>
      <c r="LVC2" s="525"/>
      <c r="LVD2" s="525"/>
      <c r="LVE2" s="525"/>
      <c r="LVF2" s="525"/>
      <c r="LVG2" s="525"/>
      <c r="LVH2" s="525"/>
      <c r="LVI2" s="525"/>
      <c r="LVJ2" s="525"/>
      <c r="LVK2" s="525"/>
      <c r="LVL2" s="525"/>
      <c r="LVM2" s="525"/>
      <c r="LVN2" s="525"/>
      <c r="LVO2" s="525"/>
      <c r="LVP2" s="525"/>
      <c r="LVQ2" s="525"/>
      <c r="LVR2" s="525"/>
      <c r="LVS2" s="525"/>
      <c r="LVT2" s="525"/>
      <c r="LVU2" s="525"/>
      <c r="LVV2" s="525"/>
      <c r="LVW2" s="525"/>
      <c r="LVX2" s="525"/>
      <c r="LVY2" s="525"/>
      <c r="LVZ2" s="525"/>
      <c r="LWA2" s="525"/>
      <c r="LWB2" s="525"/>
      <c r="LWC2" s="525"/>
      <c r="LWD2" s="525"/>
      <c r="LWE2" s="525"/>
      <c r="LWF2" s="525"/>
      <c r="LWG2" s="525"/>
      <c r="LWH2" s="525"/>
      <c r="LWI2" s="525"/>
      <c r="LWJ2" s="525"/>
      <c r="LWK2" s="525"/>
      <c r="LWL2" s="525"/>
      <c r="LWM2" s="525"/>
      <c r="LWN2" s="525"/>
      <c r="LWO2" s="525"/>
      <c r="LWP2" s="525"/>
      <c r="LWQ2" s="525"/>
      <c r="LWR2" s="525"/>
      <c r="LWS2" s="525"/>
      <c r="LWT2" s="525"/>
      <c r="LWU2" s="525"/>
      <c r="LWV2" s="525"/>
      <c r="LWW2" s="525"/>
      <c r="LWX2" s="525"/>
      <c r="LWY2" s="525"/>
      <c r="LWZ2" s="525"/>
      <c r="LXA2" s="525"/>
      <c r="LXB2" s="525"/>
      <c r="LXC2" s="525"/>
      <c r="LXD2" s="525"/>
      <c r="LXE2" s="525"/>
      <c r="LXF2" s="525"/>
      <c r="LXG2" s="525"/>
      <c r="LXH2" s="525"/>
      <c r="LXI2" s="525"/>
      <c r="LXJ2" s="525"/>
      <c r="LXK2" s="525"/>
      <c r="LXL2" s="525"/>
      <c r="LXM2" s="525"/>
      <c r="LXN2" s="525"/>
      <c r="LXO2" s="525"/>
      <c r="LXP2" s="525"/>
      <c r="LXQ2" s="525"/>
      <c r="LXR2" s="525"/>
      <c r="LXS2" s="525"/>
      <c r="LXT2" s="525"/>
      <c r="LXU2" s="525"/>
      <c r="LXV2" s="525"/>
      <c r="LXW2" s="525"/>
      <c r="LXX2" s="525"/>
      <c r="LXY2" s="525"/>
      <c r="LXZ2" s="525"/>
      <c r="LYA2" s="525"/>
      <c r="LYB2" s="525"/>
      <c r="LYC2" s="525"/>
      <c r="LYD2" s="525"/>
      <c r="LYE2" s="525"/>
      <c r="LYF2" s="525"/>
      <c r="LYG2" s="525"/>
      <c r="LYH2" s="525"/>
      <c r="LYI2" s="525"/>
      <c r="LYJ2" s="525"/>
      <c r="LYK2" s="525"/>
      <c r="LYL2" s="525"/>
      <c r="LYM2" s="525"/>
      <c r="LYN2" s="525"/>
      <c r="LYO2" s="525"/>
      <c r="LYP2" s="525"/>
      <c r="LYQ2" s="525"/>
      <c r="LYR2" s="525"/>
      <c r="LYS2" s="525"/>
      <c r="LYT2" s="525"/>
      <c r="LYU2" s="525"/>
      <c r="LYV2" s="525"/>
      <c r="LYW2" s="525"/>
      <c r="LYX2" s="525"/>
      <c r="LYY2" s="525"/>
      <c r="LYZ2" s="525"/>
      <c r="LZA2" s="525"/>
      <c r="LZB2" s="525"/>
      <c r="LZC2" s="525"/>
      <c r="LZD2" s="525"/>
      <c r="LZE2" s="525"/>
      <c r="LZF2" s="525"/>
      <c r="LZG2" s="525"/>
      <c r="LZH2" s="525"/>
      <c r="LZI2" s="525"/>
      <c r="LZJ2" s="525"/>
      <c r="LZK2" s="525"/>
      <c r="LZL2" s="525"/>
      <c r="LZM2" s="525"/>
      <c r="LZN2" s="525"/>
      <c r="LZO2" s="525"/>
      <c r="LZP2" s="525"/>
      <c r="LZQ2" s="525"/>
      <c r="LZR2" s="525"/>
      <c r="LZS2" s="525"/>
      <c r="LZT2" s="525"/>
      <c r="LZU2" s="525"/>
      <c r="LZV2" s="525"/>
      <c r="LZW2" s="525"/>
      <c r="LZX2" s="525"/>
      <c r="LZY2" s="525"/>
      <c r="LZZ2" s="525"/>
      <c r="MAA2" s="525"/>
      <c r="MAB2" s="525"/>
      <c r="MAC2" s="525"/>
      <c r="MAD2" s="525"/>
      <c r="MAE2" s="525"/>
      <c r="MAF2" s="525"/>
      <c r="MAG2" s="525"/>
      <c r="MAH2" s="525"/>
      <c r="MAI2" s="525"/>
      <c r="MAJ2" s="525"/>
      <c r="MAK2" s="525"/>
      <c r="MAL2" s="525"/>
      <c r="MAM2" s="525"/>
      <c r="MAN2" s="525"/>
      <c r="MAO2" s="525"/>
      <c r="MAP2" s="525"/>
      <c r="MAQ2" s="525"/>
      <c r="MAR2" s="525"/>
      <c r="MAS2" s="525"/>
      <c r="MAT2" s="525"/>
      <c r="MAU2" s="525"/>
      <c r="MAV2" s="525"/>
      <c r="MAW2" s="525"/>
      <c r="MAX2" s="525"/>
      <c r="MAY2" s="525"/>
      <c r="MAZ2" s="525"/>
      <c r="MBA2" s="525"/>
      <c r="MBB2" s="525"/>
      <c r="MBC2" s="525"/>
      <c r="MBD2" s="525"/>
      <c r="MBE2" s="525"/>
      <c r="MBF2" s="525"/>
      <c r="MBG2" s="525"/>
      <c r="MBH2" s="525"/>
      <c r="MBI2" s="525"/>
      <c r="MBJ2" s="525"/>
      <c r="MBK2" s="525"/>
      <c r="MBL2" s="525"/>
      <c r="MBM2" s="525"/>
      <c r="MBN2" s="525"/>
      <c r="MBO2" s="525"/>
      <c r="MBP2" s="525"/>
      <c r="MBQ2" s="525"/>
      <c r="MBR2" s="525"/>
      <c r="MBS2" s="525"/>
      <c r="MBT2" s="525"/>
      <c r="MBU2" s="525"/>
      <c r="MBV2" s="525"/>
      <c r="MBW2" s="525"/>
      <c r="MBX2" s="525"/>
      <c r="MBY2" s="525"/>
      <c r="MBZ2" s="525"/>
      <c r="MCA2" s="525"/>
      <c r="MCB2" s="525"/>
      <c r="MCC2" s="525"/>
      <c r="MCD2" s="525"/>
      <c r="MCE2" s="525"/>
      <c r="MCF2" s="525"/>
      <c r="MCG2" s="525"/>
      <c r="MCH2" s="525"/>
      <c r="MCI2" s="525"/>
      <c r="MCJ2" s="525"/>
      <c r="MCK2" s="525"/>
      <c r="MCL2" s="525"/>
      <c r="MCM2" s="525"/>
      <c r="MCN2" s="525"/>
      <c r="MCO2" s="525"/>
      <c r="MCP2" s="525"/>
      <c r="MCQ2" s="525"/>
      <c r="MCR2" s="525"/>
      <c r="MCS2" s="525"/>
      <c r="MCT2" s="525"/>
      <c r="MCU2" s="525"/>
      <c r="MCV2" s="525"/>
      <c r="MCW2" s="525"/>
      <c r="MCX2" s="525"/>
      <c r="MCY2" s="525"/>
      <c r="MCZ2" s="525"/>
      <c r="MDA2" s="525"/>
      <c r="MDB2" s="525"/>
      <c r="MDC2" s="525"/>
      <c r="MDD2" s="525"/>
      <c r="MDE2" s="525"/>
      <c r="MDF2" s="525"/>
      <c r="MDG2" s="525"/>
      <c r="MDH2" s="525"/>
      <c r="MDI2" s="525"/>
      <c r="MDJ2" s="525"/>
      <c r="MDK2" s="525"/>
      <c r="MDL2" s="525"/>
      <c r="MDM2" s="525"/>
      <c r="MDN2" s="525"/>
      <c r="MDO2" s="525"/>
      <c r="MDP2" s="525"/>
      <c r="MDQ2" s="525"/>
      <c r="MDR2" s="525"/>
      <c r="MDS2" s="525"/>
      <c r="MDT2" s="525"/>
      <c r="MDU2" s="525"/>
      <c r="MDV2" s="525"/>
      <c r="MDW2" s="525"/>
      <c r="MDX2" s="525"/>
      <c r="MDY2" s="525"/>
      <c r="MDZ2" s="525"/>
      <c r="MEA2" s="525"/>
      <c r="MEB2" s="525"/>
      <c r="MEC2" s="525"/>
      <c r="MED2" s="525"/>
      <c r="MEE2" s="525"/>
      <c r="MEF2" s="525"/>
      <c r="MEG2" s="525"/>
      <c r="MEH2" s="525"/>
      <c r="MEI2" s="525"/>
      <c r="MEJ2" s="525"/>
      <c r="MEK2" s="525"/>
      <c r="MEL2" s="525"/>
      <c r="MEM2" s="525"/>
      <c r="MEN2" s="525"/>
      <c r="MEO2" s="525"/>
      <c r="MEP2" s="525"/>
      <c r="MEQ2" s="525"/>
      <c r="MER2" s="525"/>
      <c r="MES2" s="525"/>
      <c r="MET2" s="525"/>
      <c r="MEU2" s="525"/>
      <c r="MEV2" s="525"/>
      <c r="MEW2" s="525"/>
      <c r="MEX2" s="525"/>
      <c r="MEY2" s="525"/>
      <c r="MEZ2" s="525"/>
      <c r="MFA2" s="525"/>
      <c r="MFB2" s="525"/>
      <c r="MFC2" s="525"/>
      <c r="MFD2" s="525"/>
      <c r="MFE2" s="525"/>
      <c r="MFF2" s="525"/>
      <c r="MFG2" s="525"/>
      <c r="MFH2" s="525"/>
      <c r="MFI2" s="525"/>
      <c r="MFJ2" s="525"/>
      <c r="MFK2" s="525"/>
      <c r="MFL2" s="525"/>
      <c r="MFM2" s="525"/>
      <c r="MFN2" s="525"/>
      <c r="MFO2" s="525"/>
      <c r="MFP2" s="525"/>
      <c r="MFQ2" s="525"/>
      <c r="MFR2" s="525"/>
      <c r="MFS2" s="525"/>
      <c r="MFT2" s="525"/>
      <c r="MFU2" s="525"/>
      <c r="MFV2" s="525"/>
      <c r="MFW2" s="525"/>
      <c r="MFX2" s="525"/>
      <c r="MFY2" s="525"/>
      <c r="MFZ2" s="525"/>
      <c r="MGA2" s="525"/>
      <c r="MGB2" s="525"/>
      <c r="MGC2" s="525"/>
      <c r="MGD2" s="525"/>
      <c r="MGE2" s="525"/>
      <c r="MGF2" s="525"/>
      <c r="MGG2" s="525"/>
      <c r="MGH2" s="525"/>
      <c r="MGI2" s="525"/>
      <c r="MGJ2" s="525"/>
      <c r="MGK2" s="525"/>
      <c r="MGL2" s="525"/>
      <c r="MGM2" s="525"/>
      <c r="MGN2" s="525"/>
      <c r="MGO2" s="525"/>
      <c r="MGP2" s="525"/>
      <c r="MGQ2" s="525"/>
      <c r="MGR2" s="525"/>
      <c r="MGS2" s="525"/>
      <c r="MGT2" s="525"/>
      <c r="MGU2" s="525"/>
      <c r="MGV2" s="525"/>
      <c r="MGW2" s="525"/>
      <c r="MGX2" s="525"/>
      <c r="MGY2" s="525"/>
      <c r="MGZ2" s="525"/>
      <c r="MHA2" s="525"/>
      <c r="MHB2" s="525"/>
      <c r="MHC2" s="525"/>
      <c r="MHD2" s="525"/>
      <c r="MHE2" s="525"/>
      <c r="MHF2" s="525"/>
      <c r="MHG2" s="525"/>
      <c r="MHH2" s="525"/>
      <c r="MHI2" s="525"/>
      <c r="MHJ2" s="525"/>
      <c r="MHK2" s="525"/>
      <c r="MHL2" s="525"/>
      <c r="MHM2" s="525"/>
      <c r="MHN2" s="525"/>
      <c r="MHO2" s="525"/>
      <c r="MHP2" s="525"/>
      <c r="MHQ2" s="525"/>
      <c r="MHR2" s="525"/>
      <c r="MHS2" s="525"/>
      <c r="MHT2" s="525"/>
      <c r="MHU2" s="525"/>
      <c r="MHV2" s="525"/>
      <c r="MHW2" s="525"/>
      <c r="MHX2" s="525"/>
      <c r="MHY2" s="525"/>
      <c r="MHZ2" s="525"/>
      <c r="MIA2" s="525"/>
      <c r="MIB2" s="525"/>
      <c r="MIC2" s="525"/>
      <c r="MID2" s="525"/>
      <c r="MIE2" s="525"/>
      <c r="MIF2" s="525"/>
      <c r="MIG2" s="525"/>
      <c r="MIH2" s="525"/>
      <c r="MII2" s="525"/>
      <c r="MIJ2" s="525"/>
      <c r="MIK2" s="525"/>
      <c r="MIL2" s="525"/>
      <c r="MIM2" s="525"/>
      <c r="MIN2" s="525"/>
      <c r="MIO2" s="525"/>
      <c r="MIP2" s="525"/>
      <c r="MIQ2" s="525"/>
      <c r="MIR2" s="525"/>
      <c r="MIS2" s="525"/>
      <c r="MIT2" s="525"/>
      <c r="MIU2" s="525"/>
      <c r="MIV2" s="525"/>
      <c r="MIW2" s="525"/>
      <c r="MIX2" s="525"/>
      <c r="MIY2" s="525"/>
      <c r="MIZ2" s="525"/>
      <c r="MJA2" s="525"/>
      <c r="MJB2" s="525"/>
      <c r="MJC2" s="525"/>
      <c r="MJD2" s="525"/>
      <c r="MJE2" s="525"/>
      <c r="MJF2" s="525"/>
      <c r="MJG2" s="525"/>
      <c r="MJH2" s="525"/>
      <c r="MJI2" s="525"/>
      <c r="MJJ2" s="525"/>
      <c r="MJK2" s="525"/>
      <c r="MJL2" s="525"/>
      <c r="MJM2" s="525"/>
      <c r="MJN2" s="525"/>
      <c r="MJO2" s="525"/>
      <c r="MJP2" s="525"/>
      <c r="MJQ2" s="525"/>
      <c r="MJR2" s="525"/>
      <c r="MJS2" s="525"/>
      <c r="MJT2" s="525"/>
      <c r="MJU2" s="525"/>
      <c r="MJV2" s="525"/>
      <c r="MJW2" s="525"/>
      <c r="MJX2" s="525"/>
      <c r="MJY2" s="525"/>
      <c r="MJZ2" s="525"/>
      <c r="MKA2" s="525"/>
      <c r="MKB2" s="525"/>
      <c r="MKC2" s="525"/>
      <c r="MKD2" s="525"/>
      <c r="MKE2" s="525"/>
      <c r="MKF2" s="525"/>
      <c r="MKG2" s="525"/>
      <c r="MKH2" s="525"/>
      <c r="MKI2" s="525"/>
      <c r="MKJ2" s="525"/>
      <c r="MKK2" s="525"/>
      <c r="MKL2" s="525"/>
      <c r="MKM2" s="525"/>
      <c r="MKN2" s="525"/>
      <c r="MKO2" s="525"/>
      <c r="MKP2" s="525"/>
      <c r="MKQ2" s="525"/>
      <c r="MKR2" s="525"/>
      <c r="MKS2" s="525"/>
      <c r="MKT2" s="525"/>
      <c r="MKU2" s="525"/>
      <c r="MKV2" s="525"/>
      <c r="MKW2" s="525"/>
      <c r="MKX2" s="525"/>
      <c r="MKY2" s="525"/>
      <c r="MKZ2" s="525"/>
      <c r="MLA2" s="525"/>
      <c r="MLB2" s="525"/>
      <c r="MLC2" s="525"/>
      <c r="MLD2" s="525"/>
      <c r="MLE2" s="525"/>
      <c r="MLF2" s="525"/>
      <c r="MLG2" s="525"/>
      <c r="MLH2" s="525"/>
      <c r="MLI2" s="525"/>
      <c r="MLJ2" s="525"/>
      <c r="MLK2" s="525"/>
      <c r="MLL2" s="525"/>
      <c r="MLM2" s="525"/>
      <c r="MLN2" s="525"/>
      <c r="MLO2" s="525"/>
      <c r="MLP2" s="525"/>
      <c r="MLQ2" s="525"/>
      <c r="MLR2" s="525"/>
      <c r="MLS2" s="525"/>
      <c r="MLT2" s="525"/>
      <c r="MLU2" s="525"/>
      <c r="MLV2" s="525"/>
      <c r="MLW2" s="525"/>
      <c r="MLX2" s="525"/>
      <c r="MLY2" s="525"/>
      <c r="MLZ2" s="525"/>
      <c r="MMA2" s="525"/>
      <c r="MMB2" s="525"/>
      <c r="MMC2" s="525"/>
      <c r="MMD2" s="525"/>
      <c r="MME2" s="525"/>
      <c r="MMF2" s="525"/>
      <c r="MMG2" s="525"/>
      <c r="MMH2" s="525"/>
      <c r="MMI2" s="525"/>
      <c r="MMJ2" s="525"/>
      <c r="MMK2" s="525"/>
      <c r="MML2" s="525"/>
      <c r="MMM2" s="525"/>
      <c r="MMN2" s="525"/>
      <c r="MMO2" s="525"/>
      <c r="MMP2" s="525"/>
      <c r="MMQ2" s="525"/>
      <c r="MMR2" s="525"/>
      <c r="MMS2" s="525"/>
      <c r="MMT2" s="525"/>
      <c r="MMU2" s="525"/>
      <c r="MMV2" s="525"/>
      <c r="MMW2" s="525"/>
      <c r="MMX2" s="525"/>
      <c r="MMY2" s="525"/>
      <c r="MMZ2" s="525"/>
      <c r="MNA2" s="525"/>
      <c r="MNB2" s="525"/>
      <c r="MNC2" s="525"/>
      <c r="MND2" s="525"/>
      <c r="MNE2" s="525"/>
      <c r="MNF2" s="525"/>
      <c r="MNG2" s="525"/>
      <c r="MNH2" s="525"/>
      <c r="MNI2" s="525"/>
      <c r="MNJ2" s="525"/>
      <c r="MNK2" s="525"/>
      <c r="MNL2" s="525"/>
      <c r="MNM2" s="525"/>
      <c r="MNN2" s="525"/>
      <c r="MNO2" s="525"/>
      <c r="MNP2" s="525"/>
      <c r="MNQ2" s="525"/>
      <c r="MNR2" s="525"/>
      <c r="MNS2" s="525"/>
      <c r="MNT2" s="525"/>
      <c r="MNU2" s="525"/>
      <c r="MNV2" s="525"/>
      <c r="MNW2" s="525"/>
      <c r="MNX2" s="525"/>
      <c r="MNY2" s="525"/>
      <c r="MNZ2" s="525"/>
      <c r="MOA2" s="525"/>
      <c r="MOB2" s="525"/>
      <c r="MOC2" s="525"/>
      <c r="MOD2" s="525"/>
      <c r="MOE2" s="525"/>
      <c r="MOF2" s="525"/>
      <c r="MOG2" s="525"/>
      <c r="MOH2" s="525"/>
      <c r="MOI2" s="525"/>
      <c r="MOJ2" s="525"/>
      <c r="MOK2" s="525"/>
      <c r="MOL2" s="525"/>
      <c r="MOM2" s="525"/>
      <c r="MON2" s="525"/>
      <c r="MOO2" s="525"/>
      <c r="MOP2" s="525"/>
      <c r="MOQ2" s="525"/>
      <c r="MOR2" s="525"/>
      <c r="MOS2" s="525"/>
      <c r="MOT2" s="525"/>
      <c r="MOU2" s="525"/>
      <c r="MOV2" s="525"/>
      <c r="MOW2" s="525"/>
      <c r="MOX2" s="525"/>
      <c r="MOY2" s="525"/>
      <c r="MOZ2" s="525"/>
      <c r="MPA2" s="525"/>
      <c r="MPB2" s="525"/>
      <c r="MPC2" s="525"/>
      <c r="MPD2" s="525"/>
      <c r="MPE2" s="525"/>
      <c r="MPF2" s="525"/>
      <c r="MPG2" s="525"/>
      <c r="MPH2" s="525"/>
      <c r="MPI2" s="525"/>
      <c r="MPJ2" s="525"/>
      <c r="MPK2" s="525"/>
      <c r="MPL2" s="525"/>
      <c r="MPM2" s="525"/>
      <c r="MPN2" s="525"/>
      <c r="MPO2" s="525"/>
      <c r="MPP2" s="525"/>
      <c r="MPQ2" s="525"/>
      <c r="MPR2" s="525"/>
      <c r="MPS2" s="525"/>
      <c r="MPT2" s="525"/>
      <c r="MPU2" s="525"/>
      <c r="MPV2" s="525"/>
      <c r="MPW2" s="525"/>
      <c r="MPX2" s="525"/>
      <c r="MPY2" s="525"/>
      <c r="MPZ2" s="525"/>
      <c r="MQA2" s="525"/>
      <c r="MQB2" s="525"/>
      <c r="MQC2" s="525"/>
      <c r="MQD2" s="525"/>
      <c r="MQE2" s="525"/>
      <c r="MQF2" s="525"/>
      <c r="MQG2" s="525"/>
      <c r="MQH2" s="525"/>
      <c r="MQI2" s="525"/>
      <c r="MQJ2" s="525"/>
      <c r="MQK2" s="525"/>
      <c r="MQL2" s="525"/>
      <c r="MQM2" s="525"/>
      <c r="MQN2" s="525"/>
      <c r="MQO2" s="525"/>
      <c r="MQP2" s="525"/>
      <c r="MQQ2" s="525"/>
      <c r="MQR2" s="525"/>
      <c r="MQS2" s="525"/>
      <c r="MQT2" s="525"/>
      <c r="MQU2" s="525"/>
      <c r="MQV2" s="525"/>
      <c r="MQW2" s="525"/>
      <c r="MQX2" s="525"/>
      <c r="MQY2" s="525"/>
      <c r="MQZ2" s="525"/>
      <c r="MRA2" s="525"/>
      <c r="MRB2" s="525"/>
      <c r="MRC2" s="525"/>
      <c r="MRD2" s="525"/>
      <c r="MRE2" s="525"/>
      <c r="MRF2" s="525"/>
      <c r="MRG2" s="525"/>
      <c r="MRH2" s="525"/>
      <c r="MRI2" s="525"/>
      <c r="MRJ2" s="525"/>
      <c r="MRK2" s="525"/>
      <c r="MRL2" s="525"/>
      <c r="MRM2" s="525"/>
      <c r="MRN2" s="525"/>
      <c r="MRO2" s="525"/>
      <c r="MRP2" s="525"/>
      <c r="MRQ2" s="525"/>
      <c r="MRR2" s="525"/>
      <c r="MRS2" s="525"/>
      <c r="MRT2" s="525"/>
      <c r="MRU2" s="525"/>
      <c r="MRV2" s="525"/>
      <c r="MRW2" s="525"/>
      <c r="MRX2" s="525"/>
      <c r="MRY2" s="525"/>
      <c r="MRZ2" s="525"/>
      <c r="MSA2" s="525"/>
      <c r="MSB2" s="525"/>
      <c r="MSC2" s="525"/>
      <c r="MSD2" s="525"/>
      <c r="MSE2" s="525"/>
      <c r="MSF2" s="525"/>
      <c r="MSG2" s="525"/>
      <c r="MSH2" s="525"/>
      <c r="MSI2" s="525"/>
      <c r="MSJ2" s="525"/>
      <c r="MSK2" s="525"/>
      <c r="MSL2" s="525"/>
      <c r="MSM2" s="525"/>
      <c r="MSN2" s="525"/>
      <c r="MSO2" s="525"/>
      <c r="MSP2" s="525"/>
      <c r="MSQ2" s="525"/>
      <c r="MSR2" s="525"/>
      <c r="MSS2" s="525"/>
      <c r="MST2" s="525"/>
      <c r="MSU2" s="525"/>
      <c r="MSV2" s="525"/>
      <c r="MSW2" s="525"/>
      <c r="MSX2" s="525"/>
      <c r="MSY2" s="525"/>
      <c r="MSZ2" s="525"/>
      <c r="MTA2" s="525"/>
      <c r="MTB2" s="525"/>
      <c r="MTC2" s="525"/>
      <c r="MTD2" s="525"/>
      <c r="MTE2" s="525"/>
      <c r="MTF2" s="525"/>
      <c r="MTG2" s="525"/>
      <c r="MTH2" s="525"/>
      <c r="MTI2" s="525"/>
      <c r="MTJ2" s="525"/>
      <c r="MTK2" s="525"/>
      <c r="MTL2" s="525"/>
      <c r="MTM2" s="525"/>
      <c r="MTN2" s="525"/>
      <c r="MTO2" s="525"/>
      <c r="MTP2" s="525"/>
      <c r="MTQ2" s="525"/>
      <c r="MTR2" s="525"/>
      <c r="MTS2" s="525"/>
      <c r="MTT2" s="525"/>
      <c r="MTU2" s="525"/>
      <c r="MTV2" s="525"/>
      <c r="MTW2" s="525"/>
      <c r="MTX2" s="525"/>
      <c r="MTY2" s="525"/>
      <c r="MTZ2" s="525"/>
      <c r="MUA2" s="525"/>
      <c r="MUB2" s="525"/>
      <c r="MUC2" s="525"/>
      <c r="MUD2" s="525"/>
      <c r="MUE2" s="525"/>
      <c r="MUF2" s="525"/>
      <c r="MUG2" s="525"/>
      <c r="MUH2" s="525"/>
      <c r="MUI2" s="525"/>
      <c r="MUJ2" s="525"/>
      <c r="MUK2" s="525"/>
      <c r="MUL2" s="525"/>
      <c r="MUM2" s="525"/>
      <c r="MUN2" s="525"/>
      <c r="MUO2" s="525"/>
      <c r="MUP2" s="525"/>
      <c r="MUQ2" s="525"/>
      <c r="MUR2" s="525"/>
      <c r="MUS2" s="525"/>
      <c r="MUT2" s="525"/>
      <c r="MUU2" s="525"/>
      <c r="MUV2" s="525"/>
      <c r="MUW2" s="525"/>
      <c r="MUX2" s="525"/>
      <c r="MUY2" s="525"/>
      <c r="MUZ2" s="525"/>
      <c r="MVA2" s="525"/>
      <c r="MVB2" s="525"/>
      <c r="MVC2" s="525"/>
      <c r="MVD2" s="525"/>
      <c r="MVE2" s="525"/>
      <c r="MVF2" s="525"/>
      <c r="MVG2" s="525"/>
      <c r="MVH2" s="525"/>
      <c r="MVI2" s="525"/>
      <c r="MVJ2" s="525"/>
      <c r="MVK2" s="525"/>
      <c r="MVL2" s="525"/>
      <c r="MVM2" s="525"/>
      <c r="MVN2" s="525"/>
      <c r="MVO2" s="525"/>
      <c r="MVP2" s="525"/>
      <c r="MVQ2" s="525"/>
      <c r="MVR2" s="525"/>
      <c r="MVS2" s="525"/>
      <c r="MVT2" s="525"/>
      <c r="MVU2" s="525"/>
      <c r="MVV2" s="525"/>
      <c r="MVW2" s="525"/>
      <c r="MVX2" s="525"/>
      <c r="MVY2" s="525"/>
      <c r="MVZ2" s="525"/>
      <c r="MWA2" s="525"/>
      <c r="MWB2" s="525"/>
      <c r="MWC2" s="525"/>
      <c r="MWD2" s="525"/>
      <c r="MWE2" s="525"/>
      <c r="MWF2" s="525"/>
      <c r="MWG2" s="525"/>
      <c r="MWH2" s="525"/>
      <c r="MWI2" s="525"/>
      <c r="MWJ2" s="525"/>
      <c r="MWK2" s="525"/>
      <c r="MWL2" s="525"/>
      <c r="MWM2" s="525"/>
      <c r="MWN2" s="525"/>
      <c r="MWO2" s="525"/>
      <c r="MWP2" s="525"/>
      <c r="MWQ2" s="525"/>
      <c r="MWR2" s="525"/>
      <c r="MWS2" s="525"/>
      <c r="MWT2" s="525"/>
      <c r="MWU2" s="525"/>
      <c r="MWV2" s="525"/>
      <c r="MWW2" s="525"/>
      <c r="MWX2" s="525"/>
      <c r="MWY2" s="525"/>
      <c r="MWZ2" s="525"/>
      <c r="MXA2" s="525"/>
      <c r="MXB2" s="525"/>
      <c r="MXC2" s="525"/>
      <c r="MXD2" s="525"/>
      <c r="MXE2" s="525"/>
      <c r="MXF2" s="525"/>
      <c r="MXG2" s="525"/>
      <c r="MXH2" s="525"/>
      <c r="MXI2" s="525"/>
      <c r="MXJ2" s="525"/>
      <c r="MXK2" s="525"/>
      <c r="MXL2" s="525"/>
      <c r="MXM2" s="525"/>
      <c r="MXN2" s="525"/>
      <c r="MXO2" s="525"/>
      <c r="MXP2" s="525"/>
      <c r="MXQ2" s="525"/>
      <c r="MXR2" s="525"/>
      <c r="MXS2" s="525"/>
      <c r="MXT2" s="525"/>
      <c r="MXU2" s="525"/>
      <c r="MXV2" s="525"/>
      <c r="MXW2" s="525"/>
      <c r="MXX2" s="525"/>
      <c r="MXY2" s="525"/>
      <c r="MXZ2" s="525"/>
      <c r="MYA2" s="525"/>
      <c r="MYB2" s="525"/>
      <c r="MYC2" s="525"/>
      <c r="MYD2" s="525"/>
      <c r="MYE2" s="525"/>
      <c r="MYF2" s="525"/>
      <c r="MYG2" s="525"/>
      <c r="MYH2" s="525"/>
      <c r="MYI2" s="525"/>
      <c r="MYJ2" s="525"/>
      <c r="MYK2" s="525"/>
      <c r="MYL2" s="525"/>
      <c r="MYM2" s="525"/>
      <c r="MYN2" s="525"/>
      <c r="MYO2" s="525"/>
      <c r="MYP2" s="525"/>
      <c r="MYQ2" s="525"/>
      <c r="MYR2" s="525"/>
      <c r="MYS2" s="525"/>
      <c r="MYT2" s="525"/>
      <c r="MYU2" s="525"/>
      <c r="MYV2" s="525"/>
      <c r="MYW2" s="525"/>
      <c r="MYX2" s="525"/>
      <c r="MYY2" s="525"/>
      <c r="MYZ2" s="525"/>
      <c r="MZA2" s="525"/>
      <c r="MZB2" s="525"/>
      <c r="MZC2" s="525"/>
      <c r="MZD2" s="525"/>
      <c r="MZE2" s="525"/>
      <c r="MZF2" s="525"/>
      <c r="MZG2" s="525"/>
      <c r="MZH2" s="525"/>
      <c r="MZI2" s="525"/>
      <c r="MZJ2" s="525"/>
      <c r="MZK2" s="525"/>
      <c r="MZL2" s="525"/>
      <c r="MZM2" s="525"/>
      <c r="MZN2" s="525"/>
      <c r="MZO2" s="525"/>
      <c r="MZP2" s="525"/>
      <c r="MZQ2" s="525"/>
      <c r="MZR2" s="525"/>
      <c r="MZS2" s="525"/>
      <c r="MZT2" s="525"/>
      <c r="MZU2" s="525"/>
      <c r="MZV2" s="525"/>
      <c r="MZW2" s="525"/>
      <c r="MZX2" s="525"/>
      <c r="MZY2" s="525"/>
      <c r="MZZ2" s="525"/>
      <c r="NAA2" s="525"/>
      <c r="NAB2" s="525"/>
      <c r="NAC2" s="525"/>
      <c r="NAD2" s="525"/>
      <c r="NAE2" s="525"/>
      <c r="NAF2" s="525"/>
      <c r="NAG2" s="525"/>
      <c r="NAH2" s="525"/>
      <c r="NAI2" s="525"/>
      <c r="NAJ2" s="525"/>
      <c r="NAK2" s="525"/>
      <c r="NAL2" s="525"/>
      <c r="NAM2" s="525"/>
      <c r="NAN2" s="525"/>
      <c r="NAO2" s="525"/>
      <c r="NAP2" s="525"/>
      <c r="NAQ2" s="525"/>
      <c r="NAR2" s="525"/>
      <c r="NAS2" s="525"/>
      <c r="NAT2" s="525"/>
      <c r="NAU2" s="525"/>
      <c r="NAV2" s="525"/>
      <c r="NAW2" s="525"/>
      <c r="NAX2" s="525"/>
      <c r="NAY2" s="525"/>
      <c r="NAZ2" s="525"/>
      <c r="NBA2" s="525"/>
      <c r="NBB2" s="525"/>
      <c r="NBC2" s="525"/>
      <c r="NBD2" s="525"/>
      <c r="NBE2" s="525"/>
      <c r="NBF2" s="525"/>
      <c r="NBG2" s="525"/>
      <c r="NBH2" s="525"/>
      <c r="NBI2" s="525"/>
      <c r="NBJ2" s="525"/>
      <c r="NBK2" s="525"/>
      <c r="NBL2" s="525"/>
      <c r="NBM2" s="525"/>
      <c r="NBN2" s="525"/>
      <c r="NBO2" s="525"/>
      <c r="NBP2" s="525"/>
      <c r="NBQ2" s="525"/>
      <c r="NBR2" s="525"/>
      <c r="NBS2" s="525"/>
      <c r="NBT2" s="525"/>
      <c r="NBU2" s="525"/>
      <c r="NBV2" s="525"/>
      <c r="NBW2" s="525"/>
      <c r="NBX2" s="525"/>
      <c r="NBY2" s="525"/>
      <c r="NBZ2" s="525"/>
      <c r="NCA2" s="525"/>
      <c r="NCB2" s="525"/>
      <c r="NCC2" s="525"/>
      <c r="NCD2" s="525"/>
      <c r="NCE2" s="525"/>
      <c r="NCF2" s="525"/>
      <c r="NCG2" s="525"/>
      <c r="NCH2" s="525"/>
      <c r="NCI2" s="525"/>
      <c r="NCJ2" s="525"/>
      <c r="NCK2" s="525"/>
      <c r="NCL2" s="525"/>
      <c r="NCM2" s="525"/>
      <c r="NCN2" s="525"/>
      <c r="NCO2" s="525"/>
      <c r="NCP2" s="525"/>
      <c r="NCQ2" s="525"/>
      <c r="NCR2" s="525"/>
      <c r="NCS2" s="525"/>
      <c r="NCT2" s="525"/>
      <c r="NCU2" s="525"/>
      <c r="NCV2" s="525"/>
      <c r="NCW2" s="525"/>
      <c r="NCX2" s="525"/>
      <c r="NCY2" s="525"/>
      <c r="NCZ2" s="525"/>
      <c r="NDA2" s="525"/>
      <c r="NDB2" s="525"/>
      <c r="NDC2" s="525"/>
      <c r="NDD2" s="525"/>
      <c r="NDE2" s="525"/>
      <c r="NDF2" s="525"/>
      <c r="NDG2" s="525"/>
      <c r="NDH2" s="525"/>
      <c r="NDI2" s="525"/>
      <c r="NDJ2" s="525"/>
      <c r="NDK2" s="525"/>
      <c r="NDL2" s="525"/>
      <c r="NDM2" s="525"/>
      <c r="NDN2" s="525"/>
      <c r="NDO2" s="525"/>
      <c r="NDP2" s="525"/>
      <c r="NDQ2" s="525"/>
      <c r="NDR2" s="525"/>
      <c r="NDS2" s="525"/>
      <c r="NDT2" s="525"/>
      <c r="NDU2" s="525"/>
      <c r="NDV2" s="525"/>
      <c r="NDW2" s="525"/>
      <c r="NDX2" s="525"/>
      <c r="NDY2" s="525"/>
      <c r="NDZ2" s="525"/>
      <c r="NEA2" s="525"/>
      <c r="NEB2" s="525"/>
      <c r="NEC2" s="525"/>
      <c r="NED2" s="525"/>
      <c r="NEE2" s="525"/>
      <c r="NEF2" s="525"/>
      <c r="NEG2" s="525"/>
      <c r="NEH2" s="525"/>
      <c r="NEI2" s="525"/>
      <c r="NEJ2" s="525"/>
      <c r="NEK2" s="525"/>
      <c r="NEL2" s="525"/>
      <c r="NEM2" s="525"/>
      <c r="NEN2" s="525"/>
      <c r="NEO2" s="525"/>
      <c r="NEP2" s="525"/>
      <c r="NEQ2" s="525"/>
      <c r="NER2" s="525"/>
      <c r="NES2" s="525"/>
      <c r="NET2" s="525"/>
      <c r="NEU2" s="525"/>
      <c r="NEV2" s="525"/>
      <c r="NEW2" s="525"/>
      <c r="NEX2" s="525"/>
      <c r="NEY2" s="525"/>
      <c r="NEZ2" s="525"/>
      <c r="NFA2" s="525"/>
      <c r="NFB2" s="525"/>
      <c r="NFC2" s="525"/>
      <c r="NFD2" s="525"/>
      <c r="NFE2" s="525"/>
      <c r="NFF2" s="525"/>
      <c r="NFG2" s="525"/>
      <c r="NFH2" s="525"/>
      <c r="NFI2" s="525"/>
      <c r="NFJ2" s="525"/>
      <c r="NFK2" s="525"/>
      <c r="NFL2" s="525"/>
      <c r="NFM2" s="525"/>
      <c r="NFN2" s="525"/>
      <c r="NFO2" s="525"/>
      <c r="NFP2" s="525"/>
      <c r="NFQ2" s="525"/>
      <c r="NFR2" s="525"/>
      <c r="NFS2" s="525"/>
      <c r="NFT2" s="525"/>
      <c r="NFU2" s="525"/>
      <c r="NFV2" s="525"/>
      <c r="NFW2" s="525"/>
      <c r="NFX2" s="525"/>
      <c r="NFY2" s="525"/>
      <c r="NFZ2" s="525"/>
      <c r="NGA2" s="525"/>
      <c r="NGB2" s="525"/>
      <c r="NGC2" s="525"/>
      <c r="NGD2" s="525"/>
      <c r="NGE2" s="525"/>
      <c r="NGF2" s="525"/>
      <c r="NGG2" s="525"/>
      <c r="NGH2" s="525"/>
      <c r="NGI2" s="525"/>
      <c r="NGJ2" s="525"/>
      <c r="NGK2" s="525"/>
      <c r="NGL2" s="525"/>
      <c r="NGM2" s="525"/>
      <c r="NGN2" s="525"/>
      <c r="NGO2" s="525"/>
      <c r="NGP2" s="525"/>
      <c r="NGQ2" s="525"/>
      <c r="NGR2" s="525"/>
      <c r="NGS2" s="525"/>
      <c r="NGT2" s="525"/>
      <c r="NGU2" s="525"/>
      <c r="NGV2" s="525"/>
      <c r="NGW2" s="525"/>
      <c r="NGX2" s="525"/>
      <c r="NGY2" s="525"/>
      <c r="NGZ2" s="525"/>
      <c r="NHA2" s="525"/>
      <c r="NHB2" s="525"/>
      <c r="NHC2" s="525"/>
      <c r="NHD2" s="525"/>
      <c r="NHE2" s="525"/>
      <c r="NHF2" s="525"/>
      <c r="NHG2" s="525"/>
      <c r="NHH2" s="525"/>
      <c r="NHI2" s="525"/>
      <c r="NHJ2" s="525"/>
      <c r="NHK2" s="525"/>
      <c r="NHL2" s="525"/>
      <c r="NHM2" s="525"/>
      <c r="NHN2" s="525"/>
      <c r="NHO2" s="525"/>
      <c r="NHP2" s="525"/>
      <c r="NHQ2" s="525"/>
      <c r="NHR2" s="525"/>
      <c r="NHS2" s="525"/>
      <c r="NHT2" s="525"/>
      <c r="NHU2" s="525"/>
      <c r="NHV2" s="525"/>
      <c r="NHW2" s="525"/>
      <c r="NHX2" s="525"/>
      <c r="NHY2" s="525"/>
      <c r="NHZ2" s="525"/>
      <c r="NIA2" s="525"/>
      <c r="NIB2" s="525"/>
      <c r="NIC2" s="525"/>
      <c r="NID2" s="525"/>
      <c r="NIE2" s="525"/>
      <c r="NIF2" s="525"/>
      <c r="NIG2" s="525"/>
      <c r="NIH2" s="525"/>
      <c r="NII2" s="525"/>
      <c r="NIJ2" s="525"/>
      <c r="NIK2" s="525"/>
      <c r="NIL2" s="525"/>
      <c r="NIM2" s="525"/>
      <c r="NIN2" s="525"/>
      <c r="NIO2" s="525"/>
      <c r="NIP2" s="525"/>
      <c r="NIQ2" s="525"/>
      <c r="NIR2" s="525"/>
      <c r="NIS2" s="525"/>
      <c r="NIT2" s="525"/>
      <c r="NIU2" s="525"/>
      <c r="NIV2" s="525"/>
      <c r="NIW2" s="525"/>
      <c r="NIX2" s="525"/>
      <c r="NIY2" s="525"/>
      <c r="NIZ2" s="525"/>
      <c r="NJA2" s="525"/>
      <c r="NJB2" s="525"/>
      <c r="NJC2" s="525"/>
      <c r="NJD2" s="525"/>
      <c r="NJE2" s="525"/>
      <c r="NJF2" s="525"/>
      <c r="NJG2" s="525"/>
      <c r="NJH2" s="525"/>
      <c r="NJI2" s="525"/>
      <c r="NJJ2" s="525"/>
      <c r="NJK2" s="525"/>
      <c r="NJL2" s="525"/>
      <c r="NJM2" s="525"/>
      <c r="NJN2" s="525"/>
      <c r="NJO2" s="525"/>
      <c r="NJP2" s="525"/>
      <c r="NJQ2" s="525"/>
      <c r="NJR2" s="525"/>
      <c r="NJS2" s="525"/>
      <c r="NJT2" s="525"/>
      <c r="NJU2" s="525"/>
      <c r="NJV2" s="525"/>
      <c r="NJW2" s="525"/>
      <c r="NJX2" s="525"/>
      <c r="NJY2" s="525"/>
      <c r="NJZ2" s="525"/>
      <c r="NKA2" s="525"/>
      <c r="NKB2" s="525"/>
      <c r="NKC2" s="525"/>
      <c r="NKD2" s="525"/>
      <c r="NKE2" s="525"/>
      <c r="NKF2" s="525"/>
      <c r="NKG2" s="525"/>
      <c r="NKH2" s="525"/>
      <c r="NKI2" s="525"/>
      <c r="NKJ2" s="525"/>
      <c r="NKK2" s="525"/>
      <c r="NKL2" s="525"/>
      <c r="NKM2" s="525"/>
      <c r="NKN2" s="525"/>
      <c r="NKO2" s="525"/>
      <c r="NKP2" s="525"/>
      <c r="NKQ2" s="525"/>
      <c r="NKR2" s="525"/>
      <c r="NKS2" s="525"/>
      <c r="NKT2" s="525"/>
      <c r="NKU2" s="525"/>
      <c r="NKV2" s="525"/>
      <c r="NKW2" s="525"/>
      <c r="NKX2" s="525"/>
      <c r="NKY2" s="525"/>
      <c r="NKZ2" s="525"/>
      <c r="NLA2" s="525"/>
      <c r="NLB2" s="525"/>
      <c r="NLC2" s="525"/>
      <c r="NLD2" s="525"/>
      <c r="NLE2" s="525"/>
      <c r="NLF2" s="525"/>
      <c r="NLG2" s="525"/>
      <c r="NLH2" s="525"/>
      <c r="NLI2" s="525"/>
      <c r="NLJ2" s="525"/>
      <c r="NLK2" s="525"/>
      <c r="NLL2" s="525"/>
      <c r="NLM2" s="525"/>
      <c r="NLN2" s="525"/>
      <c r="NLO2" s="525"/>
      <c r="NLP2" s="525"/>
      <c r="NLQ2" s="525"/>
      <c r="NLR2" s="525"/>
      <c r="NLS2" s="525"/>
      <c r="NLT2" s="525"/>
      <c r="NLU2" s="525"/>
      <c r="NLV2" s="525"/>
      <c r="NLW2" s="525"/>
      <c r="NLX2" s="525"/>
      <c r="NLY2" s="525"/>
      <c r="NLZ2" s="525"/>
      <c r="NMA2" s="525"/>
      <c r="NMB2" s="525"/>
      <c r="NMC2" s="525"/>
      <c r="NMD2" s="525"/>
      <c r="NME2" s="525"/>
      <c r="NMF2" s="525"/>
      <c r="NMG2" s="525"/>
      <c r="NMH2" s="525"/>
      <c r="NMI2" s="525"/>
      <c r="NMJ2" s="525"/>
      <c r="NMK2" s="525"/>
      <c r="NML2" s="525"/>
      <c r="NMM2" s="525"/>
      <c r="NMN2" s="525"/>
      <c r="NMO2" s="525"/>
      <c r="NMP2" s="525"/>
      <c r="NMQ2" s="525"/>
      <c r="NMR2" s="525"/>
      <c r="NMS2" s="525"/>
      <c r="NMT2" s="525"/>
      <c r="NMU2" s="525"/>
      <c r="NMV2" s="525"/>
      <c r="NMW2" s="525"/>
      <c r="NMX2" s="525"/>
      <c r="NMY2" s="525"/>
      <c r="NMZ2" s="525"/>
      <c r="NNA2" s="525"/>
      <c r="NNB2" s="525"/>
      <c r="NNC2" s="525"/>
      <c r="NND2" s="525"/>
      <c r="NNE2" s="525"/>
      <c r="NNF2" s="525"/>
      <c r="NNG2" s="525"/>
      <c r="NNH2" s="525"/>
      <c r="NNI2" s="525"/>
      <c r="NNJ2" s="525"/>
      <c r="NNK2" s="525"/>
      <c r="NNL2" s="525"/>
      <c r="NNM2" s="525"/>
      <c r="NNN2" s="525"/>
      <c r="NNO2" s="525"/>
      <c r="NNP2" s="525"/>
      <c r="NNQ2" s="525"/>
      <c r="NNR2" s="525"/>
      <c r="NNS2" s="525"/>
      <c r="NNT2" s="525"/>
      <c r="NNU2" s="525"/>
      <c r="NNV2" s="525"/>
      <c r="NNW2" s="525"/>
      <c r="NNX2" s="525"/>
      <c r="NNY2" s="525"/>
      <c r="NNZ2" s="525"/>
      <c r="NOA2" s="525"/>
      <c r="NOB2" s="525"/>
      <c r="NOC2" s="525"/>
      <c r="NOD2" s="525"/>
      <c r="NOE2" s="525"/>
      <c r="NOF2" s="525"/>
      <c r="NOG2" s="525"/>
      <c r="NOH2" s="525"/>
      <c r="NOI2" s="525"/>
      <c r="NOJ2" s="525"/>
      <c r="NOK2" s="525"/>
      <c r="NOL2" s="525"/>
      <c r="NOM2" s="525"/>
      <c r="NON2" s="525"/>
      <c r="NOO2" s="525"/>
      <c r="NOP2" s="525"/>
      <c r="NOQ2" s="525"/>
      <c r="NOR2" s="525"/>
      <c r="NOS2" s="525"/>
      <c r="NOT2" s="525"/>
      <c r="NOU2" s="525"/>
      <c r="NOV2" s="525"/>
      <c r="NOW2" s="525"/>
      <c r="NOX2" s="525"/>
      <c r="NOY2" s="525"/>
      <c r="NOZ2" s="525"/>
      <c r="NPA2" s="525"/>
      <c r="NPB2" s="525"/>
      <c r="NPC2" s="525"/>
      <c r="NPD2" s="525"/>
      <c r="NPE2" s="525"/>
      <c r="NPF2" s="525"/>
      <c r="NPG2" s="525"/>
      <c r="NPH2" s="525"/>
      <c r="NPI2" s="525"/>
      <c r="NPJ2" s="525"/>
      <c r="NPK2" s="525"/>
      <c r="NPL2" s="525"/>
      <c r="NPM2" s="525"/>
      <c r="NPN2" s="525"/>
      <c r="NPO2" s="525"/>
      <c r="NPP2" s="525"/>
      <c r="NPQ2" s="525"/>
      <c r="NPR2" s="525"/>
      <c r="NPS2" s="525"/>
      <c r="NPT2" s="525"/>
      <c r="NPU2" s="525"/>
      <c r="NPV2" s="525"/>
      <c r="NPW2" s="525"/>
      <c r="NPX2" s="525"/>
      <c r="NPY2" s="525"/>
      <c r="NPZ2" s="525"/>
      <c r="NQA2" s="525"/>
      <c r="NQB2" s="525"/>
      <c r="NQC2" s="525"/>
      <c r="NQD2" s="525"/>
      <c r="NQE2" s="525"/>
      <c r="NQF2" s="525"/>
      <c r="NQG2" s="525"/>
      <c r="NQH2" s="525"/>
      <c r="NQI2" s="525"/>
      <c r="NQJ2" s="525"/>
      <c r="NQK2" s="525"/>
      <c r="NQL2" s="525"/>
      <c r="NQM2" s="525"/>
      <c r="NQN2" s="525"/>
      <c r="NQO2" s="525"/>
      <c r="NQP2" s="525"/>
      <c r="NQQ2" s="525"/>
      <c r="NQR2" s="525"/>
      <c r="NQS2" s="525"/>
      <c r="NQT2" s="525"/>
      <c r="NQU2" s="525"/>
      <c r="NQV2" s="525"/>
      <c r="NQW2" s="525"/>
      <c r="NQX2" s="525"/>
      <c r="NQY2" s="525"/>
      <c r="NQZ2" s="525"/>
      <c r="NRA2" s="525"/>
      <c r="NRB2" s="525"/>
      <c r="NRC2" s="525"/>
      <c r="NRD2" s="525"/>
      <c r="NRE2" s="525"/>
      <c r="NRF2" s="525"/>
      <c r="NRG2" s="525"/>
      <c r="NRH2" s="525"/>
      <c r="NRI2" s="525"/>
      <c r="NRJ2" s="525"/>
      <c r="NRK2" s="525"/>
      <c r="NRL2" s="525"/>
      <c r="NRM2" s="525"/>
      <c r="NRN2" s="525"/>
      <c r="NRO2" s="525"/>
      <c r="NRP2" s="525"/>
      <c r="NRQ2" s="525"/>
      <c r="NRR2" s="525"/>
      <c r="NRS2" s="525"/>
      <c r="NRT2" s="525"/>
      <c r="NRU2" s="525"/>
      <c r="NRV2" s="525"/>
      <c r="NRW2" s="525"/>
      <c r="NRX2" s="525"/>
      <c r="NRY2" s="525"/>
      <c r="NRZ2" s="525"/>
      <c r="NSA2" s="525"/>
      <c r="NSB2" s="525"/>
      <c r="NSC2" s="525"/>
      <c r="NSD2" s="525"/>
      <c r="NSE2" s="525"/>
      <c r="NSF2" s="525"/>
      <c r="NSG2" s="525"/>
      <c r="NSH2" s="525"/>
      <c r="NSI2" s="525"/>
      <c r="NSJ2" s="525"/>
      <c r="NSK2" s="525"/>
      <c r="NSL2" s="525"/>
      <c r="NSM2" s="525"/>
      <c r="NSN2" s="525"/>
      <c r="NSO2" s="525"/>
      <c r="NSP2" s="525"/>
      <c r="NSQ2" s="525"/>
      <c r="NSR2" s="525"/>
      <c r="NSS2" s="525"/>
      <c r="NST2" s="525"/>
      <c r="NSU2" s="525"/>
      <c r="NSV2" s="525"/>
      <c r="NSW2" s="525"/>
      <c r="NSX2" s="525"/>
      <c r="NSY2" s="525"/>
      <c r="NSZ2" s="525"/>
      <c r="NTA2" s="525"/>
      <c r="NTB2" s="525"/>
      <c r="NTC2" s="525"/>
      <c r="NTD2" s="525"/>
      <c r="NTE2" s="525"/>
      <c r="NTF2" s="525"/>
      <c r="NTG2" s="525"/>
      <c r="NTH2" s="525"/>
      <c r="NTI2" s="525"/>
      <c r="NTJ2" s="525"/>
      <c r="NTK2" s="525"/>
      <c r="NTL2" s="525"/>
      <c r="NTM2" s="525"/>
      <c r="NTN2" s="525"/>
      <c r="NTO2" s="525"/>
      <c r="NTP2" s="525"/>
      <c r="NTQ2" s="525"/>
      <c r="NTR2" s="525"/>
      <c r="NTS2" s="525"/>
      <c r="NTT2" s="525"/>
      <c r="NTU2" s="525"/>
      <c r="NTV2" s="525"/>
      <c r="NTW2" s="525"/>
      <c r="NTX2" s="525"/>
      <c r="NTY2" s="525"/>
      <c r="NTZ2" s="525"/>
      <c r="NUA2" s="525"/>
      <c r="NUB2" s="525"/>
      <c r="NUC2" s="525"/>
      <c r="NUD2" s="525"/>
      <c r="NUE2" s="525"/>
      <c r="NUF2" s="525"/>
      <c r="NUG2" s="525"/>
      <c r="NUH2" s="525"/>
      <c r="NUI2" s="525"/>
      <c r="NUJ2" s="525"/>
      <c r="NUK2" s="525"/>
      <c r="NUL2" s="525"/>
      <c r="NUM2" s="525"/>
      <c r="NUN2" s="525"/>
      <c r="NUO2" s="525"/>
      <c r="NUP2" s="525"/>
      <c r="NUQ2" s="525"/>
      <c r="NUR2" s="525"/>
      <c r="NUS2" s="525"/>
      <c r="NUT2" s="525"/>
      <c r="NUU2" s="525"/>
      <c r="NUV2" s="525"/>
      <c r="NUW2" s="525"/>
      <c r="NUX2" s="525"/>
      <c r="NUY2" s="525"/>
      <c r="NUZ2" s="525"/>
      <c r="NVA2" s="525"/>
      <c r="NVB2" s="525"/>
      <c r="NVC2" s="525"/>
      <c r="NVD2" s="525"/>
      <c r="NVE2" s="525"/>
      <c r="NVF2" s="525"/>
      <c r="NVG2" s="525"/>
      <c r="NVH2" s="525"/>
      <c r="NVI2" s="525"/>
      <c r="NVJ2" s="525"/>
      <c r="NVK2" s="525"/>
      <c r="NVL2" s="525"/>
      <c r="NVM2" s="525"/>
      <c r="NVN2" s="525"/>
      <c r="NVO2" s="525"/>
      <c r="NVP2" s="525"/>
      <c r="NVQ2" s="525"/>
      <c r="NVR2" s="525"/>
      <c r="NVS2" s="525"/>
      <c r="NVT2" s="525"/>
      <c r="NVU2" s="525"/>
      <c r="NVV2" s="525"/>
      <c r="NVW2" s="525"/>
      <c r="NVX2" s="525"/>
      <c r="NVY2" s="525"/>
      <c r="NVZ2" s="525"/>
      <c r="NWA2" s="525"/>
      <c r="NWB2" s="525"/>
      <c r="NWC2" s="525"/>
      <c r="NWD2" s="525"/>
      <c r="NWE2" s="525"/>
      <c r="NWF2" s="525"/>
      <c r="NWG2" s="525"/>
      <c r="NWH2" s="525"/>
      <c r="NWI2" s="525"/>
      <c r="NWJ2" s="525"/>
      <c r="NWK2" s="525"/>
      <c r="NWL2" s="525"/>
      <c r="NWM2" s="525"/>
      <c r="NWN2" s="525"/>
      <c r="NWO2" s="525"/>
      <c r="NWP2" s="525"/>
      <c r="NWQ2" s="525"/>
      <c r="NWR2" s="525"/>
      <c r="NWS2" s="525"/>
      <c r="NWT2" s="525"/>
      <c r="NWU2" s="525"/>
      <c r="NWV2" s="525"/>
      <c r="NWW2" s="525"/>
      <c r="NWX2" s="525"/>
      <c r="NWY2" s="525"/>
      <c r="NWZ2" s="525"/>
      <c r="NXA2" s="525"/>
      <c r="NXB2" s="525"/>
      <c r="NXC2" s="525"/>
      <c r="NXD2" s="525"/>
      <c r="NXE2" s="525"/>
      <c r="NXF2" s="525"/>
      <c r="NXG2" s="525"/>
      <c r="NXH2" s="525"/>
      <c r="NXI2" s="525"/>
      <c r="NXJ2" s="525"/>
      <c r="NXK2" s="525"/>
      <c r="NXL2" s="525"/>
      <c r="NXM2" s="525"/>
      <c r="NXN2" s="525"/>
      <c r="NXO2" s="525"/>
      <c r="NXP2" s="525"/>
      <c r="NXQ2" s="525"/>
      <c r="NXR2" s="525"/>
      <c r="NXS2" s="525"/>
      <c r="NXT2" s="525"/>
      <c r="NXU2" s="525"/>
      <c r="NXV2" s="525"/>
      <c r="NXW2" s="525"/>
      <c r="NXX2" s="525"/>
      <c r="NXY2" s="525"/>
      <c r="NXZ2" s="525"/>
      <c r="NYA2" s="525"/>
      <c r="NYB2" s="525"/>
      <c r="NYC2" s="525"/>
      <c r="NYD2" s="525"/>
      <c r="NYE2" s="525"/>
      <c r="NYF2" s="525"/>
      <c r="NYG2" s="525"/>
      <c r="NYH2" s="525"/>
      <c r="NYI2" s="525"/>
      <c r="NYJ2" s="525"/>
      <c r="NYK2" s="525"/>
      <c r="NYL2" s="525"/>
      <c r="NYM2" s="525"/>
      <c r="NYN2" s="525"/>
      <c r="NYO2" s="525"/>
      <c r="NYP2" s="525"/>
      <c r="NYQ2" s="525"/>
      <c r="NYR2" s="525"/>
      <c r="NYS2" s="525"/>
      <c r="NYT2" s="525"/>
      <c r="NYU2" s="525"/>
      <c r="NYV2" s="525"/>
      <c r="NYW2" s="525"/>
      <c r="NYX2" s="525"/>
      <c r="NYY2" s="525"/>
      <c r="NYZ2" s="525"/>
      <c r="NZA2" s="525"/>
      <c r="NZB2" s="525"/>
      <c r="NZC2" s="525"/>
      <c r="NZD2" s="525"/>
      <c r="NZE2" s="525"/>
      <c r="NZF2" s="525"/>
      <c r="NZG2" s="525"/>
      <c r="NZH2" s="525"/>
      <c r="NZI2" s="525"/>
      <c r="NZJ2" s="525"/>
      <c r="NZK2" s="525"/>
      <c r="NZL2" s="525"/>
      <c r="NZM2" s="525"/>
      <c r="NZN2" s="525"/>
      <c r="NZO2" s="525"/>
      <c r="NZP2" s="525"/>
      <c r="NZQ2" s="525"/>
      <c r="NZR2" s="525"/>
      <c r="NZS2" s="525"/>
      <c r="NZT2" s="525"/>
      <c r="NZU2" s="525"/>
      <c r="NZV2" s="525"/>
      <c r="NZW2" s="525"/>
      <c r="NZX2" s="525"/>
      <c r="NZY2" s="525"/>
      <c r="NZZ2" s="525"/>
      <c r="OAA2" s="525"/>
      <c r="OAB2" s="525"/>
      <c r="OAC2" s="525"/>
      <c r="OAD2" s="525"/>
      <c r="OAE2" s="525"/>
      <c r="OAF2" s="525"/>
      <c r="OAG2" s="525"/>
      <c r="OAH2" s="525"/>
      <c r="OAI2" s="525"/>
      <c r="OAJ2" s="525"/>
      <c r="OAK2" s="525"/>
      <c r="OAL2" s="525"/>
      <c r="OAM2" s="525"/>
      <c r="OAN2" s="525"/>
      <c r="OAO2" s="525"/>
      <c r="OAP2" s="525"/>
      <c r="OAQ2" s="525"/>
      <c r="OAR2" s="525"/>
      <c r="OAS2" s="525"/>
      <c r="OAT2" s="525"/>
      <c r="OAU2" s="525"/>
      <c r="OAV2" s="525"/>
      <c r="OAW2" s="525"/>
      <c r="OAX2" s="525"/>
      <c r="OAY2" s="525"/>
      <c r="OAZ2" s="525"/>
      <c r="OBA2" s="525"/>
      <c r="OBB2" s="525"/>
      <c r="OBC2" s="525"/>
      <c r="OBD2" s="525"/>
      <c r="OBE2" s="525"/>
      <c r="OBF2" s="525"/>
      <c r="OBG2" s="525"/>
      <c r="OBH2" s="525"/>
      <c r="OBI2" s="525"/>
      <c r="OBJ2" s="525"/>
      <c r="OBK2" s="525"/>
      <c r="OBL2" s="525"/>
      <c r="OBM2" s="525"/>
      <c r="OBN2" s="525"/>
      <c r="OBO2" s="525"/>
      <c r="OBP2" s="525"/>
      <c r="OBQ2" s="525"/>
      <c r="OBR2" s="525"/>
      <c r="OBS2" s="525"/>
      <c r="OBT2" s="525"/>
      <c r="OBU2" s="525"/>
      <c r="OBV2" s="525"/>
      <c r="OBW2" s="525"/>
      <c r="OBX2" s="525"/>
      <c r="OBY2" s="525"/>
      <c r="OBZ2" s="525"/>
      <c r="OCA2" s="525"/>
      <c r="OCB2" s="525"/>
      <c r="OCC2" s="525"/>
      <c r="OCD2" s="525"/>
      <c r="OCE2" s="525"/>
      <c r="OCF2" s="525"/>
      <c r="OCG2" s="525"/>
      <c r="OCH2" s="525"/>
      <c r="OCI2" s="525"/>
      <c r="OCJ2" s="525"/>
      <c r="OCK2" s="525"/>
      <c r="OCL2" s="525"/>
      <c r="OCM2" s="525"/>
      <c r="OCN2" s="525"/>
      <c r="OCO2" s="525"/>
      <c r="OCP2" s="525"/>
      <c r="OCQ2" s="525"/>
      <c r="OCR2" s="525"/>
      <c r="OCS2" s="525"/>
      <c r="OCT2" s="525"/>
      <c r="OCU2" s="525"/>
      <c r="OCV2" s="525"/>
      <c r="OCW2" s="525"/>
      <c r="OCX2" s="525"/>
      <c r="OCY2" s="525"/>
      <c r="OCZ2" s="525"/>
      <c r="ODA2" s="525"/>
      <c r="ODB2" s="525"/>
      <c r="ODC2" s="525"/>
      <c r="ODD2" s="525"/>
      <c r="ODE2" s="525"/>
      <c r="ODF2" s="525"/>
      <c r="ODG2" s="525"/>
      <c r="ODH2" s="525"/>
      <c r="ODI2" s="525"/>
      <c r="ODJ2" s="525"/>
      <c r="ODK2" s="525"/>
      <c r="ODL2" s="525"/>
      <c r="ODM2" s="525"/>
      <c r="ODN2" s="525"/>
      <c r="ODO2" s="525"/>
      <c r="ODP2" s="525"/>
      <c r="ODQ2" s="525"/>
      <c r="ODR2" s="525"/>
      <c r="ODS2" s="525"/>
      <c r="ODT2" s="525"/>
      <c r="ODU2" s="525"/>
      <c r="ODV2" s="525"/>
      <c r="ODW2" s="525"/>
      <c r="ODX2" s="525"/>
      <c r="ODY2" s="525"/>
      <c r="ODZ2" s="525"/>
      <c r="OEA2" s="525"/>
      <c r="OEB2" s="525"/>
      <c r="OEC2" s="525"/>
      <c r="OED2" s="525"/>
      <c r="OEE2" s="525"/>
      <c r="OEF2" s="525"/>
      <c r="OEG2" s="525"/>
      <c r="OEH2" s="525"/>
      <c r="OEI2" s="525"/>
      <c r="OEJ2" s="525"/>
      <c r="OEK2" s="525"/>
      <c r="OEL2" s="525"/>
      <c r="OEM2" s="525"/>
      <c r="OEN2" s="525"/>
      <c r="OEO2" s="525"/>
      <c r="OEP2" s="525"/>
      <c r="OEQ2" s="525"/>
      <c r="OER2" s="525"/>
      <c r="OES2" s="525"/>
      <c r="OET2" s="525"/>
      <c r="OEU2" s="525"/>
      <c r="OEV2" s="525"/>
      <c r="OEW2" s="525"/>
      <c r="OEX2" s="525"/>
      <c r="OEY2" s="525"/>
      <c r="OEZ2" s="525"/>
      <c r="OFA2" s="525"/>
      <c r="OFB2" s="525"/>
      <c r="OFC2" s="525"/>
      <c r="OFD2" s="525"/>
      <c r="OFE2" s="525"/>
      <c r="OFF2" s="525"/>
      <c r="OFG2" s="525"/>
      <c r="OFH2" s="525"/>
      <c r="OFI2" s="525"/>
      <c r="OFJ2" s="525"/>
      <c r="OFK2" s="525"/>
      <c r="OFL2" s="525"/>
      <c r="OFM2" s="525"/>
      <c r="OFN2" s="525"/>
      <c r="OFO2" s="525"/>
      <c r="OFP2" s="525"/>
      <c r="OFQ2" s="525"/>
      <c r="OFR2" s="525"/>
      <c r="OFS2" s="525"/>
      <c r="OFT2" s="525"/>
      <c r="OFU2" s="525"/>
      <c r="OFV2" s="525"/>
      <c r="OFW2" s="525"/>
      <c r="OFX2" s="525"/>
      <c r="OFY2" s="525"/>
      <c r="OFZ2" s="525"/>
      <c r="OGA2" s="525"/>
      <c r="OGB2" s="525"/>
      <c r="OGC2" s="525"/>
      <c r="OGD2" s="525"/>
      <c r="OGE2" s="525"/>
      <c r="OGF2" s="525"/>
      <c r="OGG2" s="525"/>
      <c r="OGH2" s="525"/>
      <c r="OGI2" s="525"/>
      <c r="OGJ2" s="525"/>
      <c r="OGK2" s="525"/>
      <c r="OGL2" s="525"/>
      <c r="OGM2" s="525"/>
      <c r="OGN2" s="525"/>
      <c r="OGO2" s="525"/>
      <c r="OGP2" s="525"/>
      <c r="OGQ2" s="525"/>
      <c r="OGR2" s="525"/>
      <c r="OGS2" s="525"/>
      <c r="OGT2" s="525"/>
      <c r="OGU2" s="525"/>
      <c r="OGV2" s="525"/>
      <c r="OGW2" s="525"/>
      <c r="OGX2" s="525"/>
      <c r="OGY2" s="525"/>
      <c r="OGZ2" s="525"/>
      <c r="OHA2" s="525"/>
      <c r="OHB2" s="525"/>
      <c r="OHC2" s="525"/>
      <c r="OHD2" s="525"/>
      <c r="OHE2" s="525"/>
      <c r="OHF2" s="525"/>
      <c r="OHG2" s="525"/>
      <c r="OHH2" s="525"/>
      <c r="OHI2" s="525"/>
      <c r="OHJ2" s="525"/>
      <c r="OHK2" s="525"/>
      <c r="OHL2" s="525"/>
      <c r="OHM2" s="525"/>
      <c r="OHN2" s="525"/>
      <c r="OHO2" s="525"/>
      <c r="OHP2" s="525"/>
      <c r="OHQ2" s="525"/>
      <c r="OHR2" s="525"/>
      <c r="OHS2" s="525"/>
      <c r="OHT2" s="525"/>
      <c r="OHU2" s="525"/>
      <c r="OHV2" s="525"/>
      <c r="OHW2" s="525"/>
      <c r="OHX2" s="525"/>
      <c r="OHY2" s="525"/>
      <c r="OHZ2" s="525"/>
      <c r="OIA2" s="525"/>
      <c r="OIB2" s="525"/>
      <c r="OIC2" s="525"/>
      <c r="OID2" s="525"/>
      <c r="OIE2" s="525"/>
      <c r="OIF2" s="525"/>
      <c r="OIG2" s="525"/>
      <c r="OIH2" s="525"/>
      <c r="OII2" s="525"/>
      <c r="OIJ2" s="525"/>
      <c r="OIK2" s="525"/>
      <c r="OIL2" s="525"/>
      <c r="OIM2" s="525"/>
      <c r="OIN2" s="525"/>
      <c r="OIO2" s="525"/>
      <c r="OIP2" s="525"/>
      <c r="OIQ2" s="525"/>
      <c r="OIR2" s="525"/>
      <c r="OIS2" s="525"/>
      <c r="OIT2" s="525"/>
      <c r="OIU2" s="525"/>
      <c r="OIV2" s="525"/>
      <c r="OIW2" s="525"/>
      <c r="OIX2" s="525"/>
      <c r="OIY2" s="525"/>
      <c r="OIZ2" s="525"/>
      <c r="OJA2" s="525"/>
      <c r="OJB2" s="525"/>
      <c r="OJC2" s="525"/>
      <c r="OJD2" s="525"/>
      <c r="OJE2" s="525"/>
      <c r="OJF2" s="525"/>
      <c r="OJG2" s="525"/>
      <c r="OJH2" s="525"/>
      <c r="OJI2" s="525"/>
      <c r="OJJ2" s="525"/>
      <c r="OJK2" s="525"/>
      <c r="OJL2" s="525"/>
      <c r="OJM2" s="525"/>
      <c r="OJN2" s="525"/>
      <c r="OJO2" s="525"/>
      <c r="OJP2" s="525"/>
      <c r="OJQ2" s="525"/>
      <c r="OJR2" s="525"/>
      <c r="OJS2" s="525"/>
      <c r="OJT2" s="525"/>
      <c r="OJU2" s="525"/>
      <c r="OJV2" s="525"/>
      <c r="OJW2" s="525"/>
      <c r="OJX2" s="525"/>
      <c r="OJY2" s="525"/>
      <c r="OJZ2" s="525"/>
      <c r="OKA2" s="525"/>
      <c r="OKB2" s="525"/>
      <c r="OKC2" s="525"/>
      <c r="OKD2" s="525"/>
      <c r="OKE2" s="525"/>
      <c r="OKF2" s="525"/>
      <c r="OKG2" s="525"/>
      <c r="OKH2" s="525"/>
      <c r="OKI2" s="525"/>
      <c r="OKJ2" s="525"/>
      <c r="OKK2" s="525"/>
      <c r="OKL2" s="525"/>
      <c r="OKM2" s="525"/>
      <c r="OKN2" s="525"/>
      <c r="OKO2" s="525"/>
      <c r="OKP2" s="525"/>
      <c r="OKQ2" s="525"/>
      <c r="OKR2" s="525"/>
      <c r="OKS2" s="525"/>
      <c r="OKT2" s="525"/>
      <c r="OKU2" s="525"/>
      <c r="OKV2" s="525"/>
      <c r="OKW2" s="525"/>
      <c r="OKX2" s="525"/>
      <c r="OKY2" s="525"/>
      <c r="OKZ2" s="525"/>
      <c r="OLA2" s="525"/>
      <c r="OLB2" s="525"/>
      <c r="OLC2" s="525"/>
      <c r="OLD2" s="525"/>
      <c r="OLE2" s="525"/>
      <c r="OLF2" s="525"/>
      <c r="OLG2" s="525"/>
      <c r="OLH2" s="525"/>
      <c r="OLI2" s="525"/>
      <c r="OLJ2" s="525"/>
      <c r="OLK2" s="525"/>
      <c r="OLL2" s="525"/>
      <c r="OLM2" s="525"/>
      <c r="OLN2" s="525"/>
      <c r="OLO2" s="525"/>
      <c r="OLP2" s="525"/>
      <c r="OLQ2" s="525"/>
      <c r="OLR2" s="525"/>
      <c r="OLS2" s="525"/>
      <c r="OLT2" s="525"/>
      <c r="OLU2" s="525"/>
      <c r="OLV2" s="525"/>
      <c r="OLW2" s="525"/>
      <c r="OLX2" s="525"/>
      <c r="OLY2" s="525"/>
      <c r="OLZ2" s="525"/>
      <c r="OMA2" s="525"/>
      <c r="OMB2" s="525"/>
      <c r="OMC2" s="525"/>
      <c r="OMD2" s="525"/>
      <c r="OME2" s="525"/>
      <c r="OMF2" s="525"/>
      <c r="OMG2" s="525"/>
      <c r="OMH2" s="525"/>
      <c r="OMI2" s="525"/>
      <c r="OMJ2" s="525"/>
      <c r="OMK2" s="525"/>
      <c r="OML2" s="525"/>
      <c r="OMM2" s="525"/>
      <c r="OMN2" s="525"/>
      <c r="OMO2" s="525"/>
      <c r="OMP2" s="525"/>
      <c r="OMQ2" s="525"/>
      <c r="OMR2" s="525"/>
      <c r="OMS2" s="525"/>
      <c r="OMT2" s="525"/>
      <c r="OMU2" s="525"/>
      <c r="OMV2" s="525"/>
      <c r="OMW2" s="525"/>
      <c r="OMX2" s="525"/>
      <c r="OMY2" s="525"/>
      <c r="OMZ2" s="525"/>
      <c r="ONA2" s="525"/>
      <c r="ONB2" s="525"/>
      <c r="ONC2" s="525"/>
      <c r="OND2" s="525"/>
      <c r="ONE2" s="525"/>
      <c r="ONF2" s="525"/>
      <c r="ONG2" s="525"/>
      <c r="ONH2" s="525"/>
      <c r="ONI2" s="525"/>
      <c r="ONJ2" s="525"/>
      <c r="ONK2" s="525"/>
      <c r="ONL2" s="525"/>
      <c r="ONM2" s="525"/>
      <c r="ONN2" s="525"/>
      <c r="ONO2" s="525"/>
      <c r="ONP2" s="525"/>
      <c r="ONQ2" s="525"/>
      <c r="ONR2" s="525"/>
      <c r="ONS2" s="525"/>
      <c r="ONT2" s="525"/>
      <c r="ONU2" s="525"/>
      <c r="ONV2" s="525"/>
      <c r="ONW2" s="525"/>
      <c r="ONX2" s="525"/>
      <c r="ONY2" s="525"/>
      <c r="ONZ2" s="525"/>
      <c r="OOA2" s="525"/>
      <c r="OOB2" s="525"/>
      <c r="OOC2" s="525"/>
      <c r="OOD2" s="525"/>
      <c r="OOE2" s="525"/>
      <c r="OOF2" s="525"/>
      <c r="OOG2" s="525"/>
      <c r="OOH2" s="525"/>
      <c r="OOI2" s="525"/>
      <c r="OOJ2" s="525"/>
      <c r="OOK2" s="525"/>
      <c r="OOL2" s="525"/>
      <c r="OOM2" s="525"/>
      <c r="OON2" s="525"/>
      <c r="OOO2" s="525"/>
      <c r="OOP2" s="525"/>
      <c r="OOQ2" s="525"/>
      <c r="OOR2" s="525"/>
      <c r="OOS2" s="525"/>
      <c r="OOT2" s="525"/>
      <c r="OOU2" s="525"/>
      <c r="OOV2" s="525"/>
      <c r="OOW2" s="525"/>
      <c r="OOX2" s="525"/>
      <c r="OOY2" s="525"/>
      <c r="OOZ2" s="525"/>
      <c r="OPA2" s="525"/>
      <c r="OPB2" s="525"/>
      <c r="OPC2" s="525"/>
      <c r="OPD2" s="525"/>
      <c r="OPE2" s="525"/>
      <c r="OPF2" s="525"/>
      <c r="OPG2" s="525"/>
      <c r="OPH2" s="525"/>
      <c r="OPI2" s="525"/>
      <c r="OPJ2" s="525"/>
      <c r="OPK2" s="525"/>
      <c r="OPL2" s="525"/>
      <c r="OPM2" s="525"/>
      <c r="OPN2" s="525"/>
      <c r="OPO2" s="525"/>
      <c r="OPP2" s="525"/>
      <c r="OPQ2" s="525"/>
      <c r="OPR2" s="525"/>
      <c r="OPS2" s="525"/>
      <c r="OPT2" s="525"/>
      <c r="OPU2" s="525"/>
      <c r="OPV2" s="525"/>
      <c r="OPW2" s="525"/>
      <c r="OPX2" s="525"/>
      <c r="OPY2" s="525"/>
      <c r="OPZ2" s="525"/>
      <c r="OQA2" s="525"/>
      <c r="OQB2" s="525"/>
      <c r="OQC2" s="525"/>
      <c r="OQD2" s="525"/>
      <c r="OQE2" s="525"/>
      <c r="OQF2" s="525"/>
      <c r="OQG2" s="525"/>
      <c r="OQH2" s="525"/>
      <c r="OQI2" s="525"/>
      <c r="OQJ2" s="525"/>
      <c r="OQK2" s="525"/>
      <c r="OQL2" s="525"/>
      <c r="OQM2" s="525"/>
      <c r="OQN2" s="525"/>
      <c r="OQO2" s="525"/>
      <c r="OQP2" s="525"/>
      <c r="OQQ2" s="525"/>
      <c r="OQR2" s="525"/>
      <c r="OQS2" s="525"/>
      <c r="OQT2" s="525"/>
      <c r="OQU2" s="525"/>
      <c r="OQV2" s="525"/>
      <c r="OQW2" s="525"/>
      <c r="OQX2" s="525"/>
      <c r="OQY2" s="525"/>
      <c r="OQZ2" s="525"/>
      <c r="ORA2" s="525"/>
      <c r="ORB2" s="525"/>
      <c r="ORC2" s="525"/>
      <c r="ORD2" s="525"/>
      <c r="ORE2" s="525"/>
      <c r="ORF2" s="525"/>
      <c r="ORG2" s="525"/>
      <c r="ORH2" s="525"/>
      <c r="ORI2" s="525"/>
      <c r="ORJ2" s="525"/>
      <c r="ORK2" s="525"/>
      <c r="ORL2" s="525"/>
      <c r="ORM2" s="525"/>
      <c r="ORN2" s="525"/>
      <c r="ORO2" s="525"/>
      <c r="ORP2" s="525"/>
      <c r="ORQ2" s="525"/>
      <c r="ORR2" s="525"/>
      <c r="ORS2" s="525"/>
      <c r="ORT2" s="525"/>
      <c r="ORU2" s="525"/>
      <c r="ORV2" s="525"/>
      <c r="ORW2" s="525"/>
      <c r="ORX2" s="525"/>
      <c r="ORY2" s="525"/>
      <c r="ORZ2" s="525"/>
      <c r="OSA2" s="525"/>
      <c r="OSB2" s="525"/>
      <c r="OSC2" s="525"/>
      <c r="OSD2" s="525"/>
      <c r="OSE2" s="525"/>
      <c r="OSF2" s="525"/>
      <c r="OSG2" s="525"/>
      <c r="OSH2" s="525"/>
      <c r="OSI2" s="525"/>
      <c r="OSJ2" s="525"/>
      <c r="OSK2" s="525"/>
      <c r="OSL2" s="525"/>
      <c r="OSM2" s="525"/>
      <c r="OSN2" s="525"/>
      <c r="OSO2" s="525"/>
      <c r="OSP2" s="525"/>
      <c r="OSQ2" s="525"/>
      <c r="OSR2" s="525"/>
      <c r="OSS2" s="525"/>
      <c r="OST2" s="525"/>
      <c r="OSU2" s="525"/>
      <c r="OSV2" s="525"/>
      <c r="OSW2" s="525"/>
      <c r="OSX2" s="525"/>
      <c r="OSY2" s="525"/>
      <c r="OSZ2" s="525"/>
      <c r="OTA2" s="525"/>
      <c r="OTB2" s="525"/>
      <c r="OTC2" s="525"/>
      <c r="OTD2" s="525"/>
      <c r="OTE2" s="525"/>
      <c r="OTF2" s="525"/>
      <c r="OTG2" s="525"/>
      <c r="OTH2" s="525"/>
      <c r="OTI2" s="525"/>
      <c r="OTJ2" s="525"/>
      <c r="OTK2" s="525"/>
      <c r="OTL2" s="525"/>
      <c r="OTM2" s="525"/>
      <c r="OTN2" s="525"/>
      <c r="OTO2" s="525"/>
      <c r="OTP2" s="525"/>
      <c r="OTQ2" s="525"/>
      <c r="OTR2" s="525"/>
      <c r="OTS2" s="525"/>
      <c r="OTT2" s="525"/>
      <c r="OTU2" s="525"/>
      <c r="OTV2" s="525"/>
      <c r="OTW2" s="525"/>
      <c r="OTX2" s="525"/>
      <c r="OTY2" s="525"/>
      <c r="OTZ2" s="525"/>
      <c r="OUA2" s="525"/>
      <c r="OUB2" s="525"/>
      <c r="OUC2" s="525"/>
      <c r="OUD2" s="525"/>
      <c r="OUE2" s="525"/>
      <c r="OUF2" s="525"/>
      <c r="OUG2" s="525"/>
      <c r="OUH2" s="525"/>
      <c r="OUI2" s="525"/>
      <c r="OUJ2" s="525"/>
      <c r="OUK2" s="525"/>
      <c r="OUL2" s="525"/>
      <c r="OUM2" s="525"/>
      <c r="OUN2" s="525"/>
      <c r="OUO2" s="525"/>
      <c r="OUP2" s="525"/>
      <c r="OUQ2" s="525"/>
      <c r="OUR2" s="525"/>
      <c r="OUS2" s="525"/>
      <c r="OUT2" s="525"/>
      <c r="OUU2" s="525"/>
      <c r="OUV2" s="525"/>
      <c r="OUW2" s="525"/>
      <c r="OUX2" s="525"/>
      <c r="OUY2" s="525"/>
      <c r="OUZ2" s="525"/>
      <c r="OVA2" s="525"/>
      <c r="OVB2" s="525"/>
      <c r="OVC2" s="525"/>
      <c r="OVD2" s="525"/>
      <c r="OVE2" s="525"/>
      <c r="OVF2" s="525"/>
      <c r="OVG2" s="525"/>
      <c r="OVH2" s="525"/>
      <c r="OVI2" s="525"/>
      <c r="OVJ2" s="525"/>
      <c r="OVK2" s="525"/>
      <c r="OVL2" s="525"/>
      <c r="OVM2" s="525"/>
      <c r="OVN2" s="525"/>
      <c r="OVO2" s="525"/>
      <c r="OVP2" s="525"/>
      <c r="OVQ2" s="525"/>
      <c r="OVR2" s="525"/>
      <c r="OVS2" s="525"/>
      <c r="OVT2" s="525"/>
      <c r="OVU2" s="525"/>
      <c r="OVV2" s="525"/>
      <c r="OVW2" s="525"/>
      <c r="OVX2" s="525"/>
      <c r="OVY2" s="525"/>
      <c r="OVZ2" s="525"/>
      <c r="OWA2" s="525"/>
      <c r="OWB2" s="525"/>
      <c r="OWC2" s="525"/>
      <c r="OWD2" s="525"/>
      <c r="OWE2" s="525"/>
      <c r="OWF2" s="525"/>
      <c r="OWG2" s="525"/>
      <c r="OWH2" s="525"/>
      <c r="OWI2" s="525"/>
      <c r="OWJ2" s="525"/>
      <c r="OWK2" s="525"/>
      <c r="OWL2" s="525"/>
      <c r="OWM2" s="525"/>
      <c r="OWN2" s="525"/>
      <c r="OWO2" s="525"/>
      <c r="OWP2" s="525"/>
      <c r="OWQ2" s="525"/>
      <c r="OWR2" s="525"/>
      <c r="OWS2" s="525"/>
      <c r="OWT2" s="525"/>
      <c r="OWU2" s="525"/>
      <c r="OWV2" s="525"/>
      <c r="OWW2" s="525"/>
      <c r="OWX2" s="525"/>
      <c r="OWY2" s="525"/>
      <c r="OWZ2" s="525"/>
      <c r="OXA2" s="525"/>
      <c r="OXB2" s="525"/>
      <c r="OXC2" s="525"/>
      <c r="OXD2" s="525"/>
      <c r="OXE2" s="525"/>
      <c r="OXF2" s="525"/>
      <c r="OXG2" s="525"/>
      <c r="OXH2" s="525"/>
      <c r="OXI2" s="525"/>
      <c r="OXJ2" s="525"/>
      <c r="OXK2" s="525"/>
      <c r="OXL2" s="525"/>
      <c r="OXM2" s="525"/>
      <c r="OXN2" s="525"/>
      <c r="OXO2" s="525"/>
      <c r="OXP2" s="525"/>
      <c r="OXQ2" s="525"/>
      <c r="OXR2" s="525"/>
      <c r="OXS2" s="525"/>
      <c r="OXT2" s="525"/>
      <c r="OXU2" s="525"/>
      <c r="OXV2" s="525"/>
      <c r="OXW2" s="525"/>
      <c r="OXX2" s="525"/>
      <c r="OXY2" s="525"/>
      <c r="OXZ2" s="525"/>
      <c r="OYA2" s="525"/>
      <c r="OYB2" s="525"/>
      <c r="OYC2" s="525"/>
      <c r="OYD2" s="525"/>
      <c r="OYE2" s="525"/>
      <c r="OYF2" s="525"/>
      <c r="OYG2" s="525"/>
      <c r="OYH2" s="525"/>
      <c r="OYI2" s="525"/>
      <c r="OYJ2" s="525"/>
      <c r="OYK2" s="525"/>
      <c r="OYL2" s="525"/>
      <c r="OYM2" s="525"/>
      <c r="OYN2" s="525"/>
      <c r="OYO2" s="525"/>
      <c r="OYP2" s="525"/>
      <c r="OYQ2" s="525"/>
      <c r="OYR2" s="525"/>
      <c r="OYS2" s="525"/>
      <c r="OYT2" s="525"/>
      <c r="OYU2" s="525"/>
      <c r="OYV2" s="525"/>
      <c r="OYW2" s="525"/>
      <c r="OYX2" s="525"/>
      <c r="OYY2" s="525"/>
      <c r="OYZ2" s="525"/>
      <c r="OZA2" s="525"/>
      <c r="OZB2" s="525"/>
      <c r="OZC2" s="525"/>
      <c r="OZD2" s="525"/>
      <c r="OZE2" s="525"/>
      <c r="OZF2" s="525"/>
      <c r="OZG2" s="525"/>
      <c r="OZH2" s="525"/>
      <c r="OZI2" s="525"/>
      <c r="OZJ2" s="525"/>
      <c r="OZK2" s="525"/>
      <c r="OZL2" s="525"/>
      <c r="OZM2" s="525"/>
      <c r="OZN2" s="525"/>
      <c r="OZO2" s="525"/>
      <c r="OZP2" s="525"/>
      <c r="OZQ2" s="525"/>
      <c r="OZR2" s="525"/>
      <c r="OZS2" s="525"/>
      <c r="OZT2" s="525"/>
      <c r="OZU2" s="525"/>
      <c r="OZV2" s="525"/>
      <c r="OZW2" s="525"/>
      <c r="OZX2" s="525"/>
      <c r="OZY2" s="525"/>
      <c r="OZZ2" s="525"/>
      <c r="PAA2" s="525"/>
      <c r="PAB2" s="525"/>
      <c r="PAC2" s="525"/>
      <c r="PAD2" s="525"/>
      <c r="PAE2" s="525"/>
      <c r="PAF2" s="525"/>
      <c r="PAG2" s="525"/>
      <c r="PAH2" s="525"/>
      <c r="PAI2" s="525"/>
      <c r="PAJ2" s="525"/>
      <c r="PAK2" s="525"/>
      <c r="PAL2" s="525"/>
      <c r="PAM2" s="525"/>
      <c r="PAN2" s="525"/>
      <c r="PAO2" s="525"/>
      <c r="PAP2" s="525"/>
      <c r="PAQ2" s="525"/>
      <c r="PAR2" s="525"/>
      <c r="PAS2" s="525"/>
      <c r="PAT2" s="525"/>
      <c r="PAU2" s="525"/>
      <c r="PAV2" s="525"/>
      <c r="PAW2" s="525"/>
      <c r="PAX2" s="525"/>
      <c r="PAY2" s="525"/>
      <c r="PAZ2" s="525"/>
      <c r="PBA2" s="525"/>
      <c r="PBB2" s="525"/>
      <c r="PBC2" s="525"/>
      <c r="PBD2" s="525"/>
      <c r="PBE2" s="525"/>
      <c r="PBF2" s="525"/>
      <c r="PBG2" s="525"/>
      <c r="PBH2" s="525"/>
      <c r="PBI2" s="525"/>
      <c r="PBJ2" s="525"/>
      <c r="PBK2" s="525"/>
      <c r="PBL2" s="525"/>
      <c r="PBM2" s="525"/>
      <c r="PBN2" s="525"/>
      <c r="PBO2" s="525"/>
      <c r="PBP2" s="525"/>
      <c r="PBQ2" s="525"/>
      <c r="PBR2" s="525"/>
      <c r="PBS2" s="525"/>
      <c r="PBT2" s="525"/>
      <c r="PBU2" s="525"/>
      <c r="PBV2" s="525"/>
      <c r="PBW2" s="525"/>
      <c r="PBX2" s="525"/>
      <c r="PBY2" s="525"/>
      <c r="PBZ2" s="525"/>
      <c r="PCA2" s="525"/>
      <c r="PCB2" s="525"/>
      <c r="PCC2" s="525"/>
      <c r="PCD2" s="525"/>
      <c r="PCE2" s="525"/>
      <c r="PCF2" s="525"/>
      <c r="PCG2" s="525"/>
      <c r="PCH2" s="525"/>
      <c r="PCI2" s="525"/>
      <c r="PCJ2" s="525"/>
      <c r="PCK2" s="525"/>
      <c r="PCL2" s="525"/>
      <c r="PCM2" s="525"/>
      <c r="PCN2" s="525"/>
      <c r="PCO2" s="525"/>
      <c r="PCP2" s="525"/>
      <c r="PCQ2" s="525"/>
      <c r="PCR2" s="525"/>
      <c r="PCS2" s="525"/>
      <c r="PCT2" s="525"/>
      <c r="PCU2" s="525"/>
      <c r="PCV2" s="525"/>
      <c r="PCW2" s="525"/>
      <c r="PCX2" s="525"/>
      <c r="PCY2" s="525"/>
      <c r="PCZ2" s="525"/>
      <c r="PDA2" s="525"/>
      <c r="PDB2" s="525"/>
      <c r="PDC2" s="525"/>
      <c r="PDD2" s="525"/>
      <c r="PDE2" s="525"/>
      <c r="PDF2" s="525"/>
      <c r="PDG2" s="525"/>
      <c r="PDH2" s="525"/>
      <c r="PDI2" s="525"/>
      <c r="PDJ2" s="525"/>
      <c r="PDK2" s="525"/>
      <c r="PDL2" s="525"/>
      <c r="PDM2" s="525"/>
      <c r="PDN2" s="525"/>
      <c r="PDO2" s="525"/>
      <c r="PDP2" s="525"/>
      <c r="PDQ2" s="525"/>
      <c r="PDR2" s="525"/>
      <c r="PDS2" s="525"/>
      <c r="PDT2" s="525"/>
      <c r="PDU2" s="525"/>
      <c r="PDV2" s="525"/>
      <c r="PDW2" s="525"/>
      <c r="PDX2" s="525"/>
      <c r="PDY2" s="525"/>
      <c r="PDZ2" s="525"/>
      <c r="PEA2" s="525"/>
      <c r="PEB2" s="525"/>
      <c r="PEC2" s="525"/>
      <c r="PED2" s="525"/>
      <c r="PEE2" s="525"/>
      <c r="PEF2" s="525"/>
      <c r="PEG2" s="525"/>
      <c r="PEH2" s="525"/>
      <c r="PEI2" s="525"/>
      <c r="PEJ2" s="525"/>
      <c r="PEK2" s="525"/>
      <c r="PEL2" s="525"/>
      <c r="PEM2" s="525"/>
      <c r="PEN2" s="525"/>
      <c r="PEO2" s="525"/>
      <c r="PEP2" s="525"/>
      <c r="PEQ2" s="525"/>
      <c r="PER2" s="525"/>
      <c r="PES2" s="525"/>
      <c r="PET2" s="525"/>
      <c r="PEU2" s="525"/>
      <c r="PEV2" s="525"/>
      <c r="PEW2" s="525"/>
      <c r="PEX2" s="525"/>
      <c r="PEY2" s="525"/>
      <c r="PEZ2" s="525"/>
      <c r="PFA2" s="525"/>
      <c r="PFB2" s="525"/>
      <c r="PFC2" s="525"/>
      <c r="PFD2" s="525"/>
      <c r="PFE2" s="525"/>
      <c r="PFF2" s="525"/>
      <c r="PFG2" s="525"/>
      <c r="PFH2" s="525"/>
      <c r="PFI2" s="525"/>
      <c r="PFJ2" s="525"/>
      <c r="PFK2" s="525"/>
      <c r="PFL2" s="525"/>
      <c r="PFM2" s="525"/>
      <c r="PFN2" s="525"/>
      <c r="PFO2" s="525"/>
      <c r="PFP2" s="525"/>
      <c r="PFQ2" s="525"/>
      <c r="PFR2" s="525"/>
      <c r="PFS2" s="525"/>
      <c r="PFT2" s="525"/>
      <c r="PFU2" s="525"/>
      <c r="PFV2" s="525"/>
      <c r="PFW2" s="525"/>
      <c r="PFX2" s="525"/>
      <c r="PFY2" s="525"/>
      <c r="PFZ2" s="525"/>
      <c r="PGA2" s="525"/>
      <c r="PGB2" s="525"/>
      <c r="PGC2" s="525"/>
      <c r="PGD2" s="525"/>
      <c r="PGE2" s="525"/>
      <c r="PGF2" s="525"/>
      <c r="PGG2" s="525"/>
      <c r="PGH2" s="525"/>
      <c r="PGI2" s="525"/>
      <c r="PGJ2" s="525"/>
      <c r="PGK2" s="525"/>
      <c r="PGL2" s="525"/>
      <c r="PGM2" s="525"/>
      <c r="PGN2" s="525"/>
      <c r="PGO2" s="525"/>
      <c r="PGP2" s="525"/>
      <c r="PGQ2" s="525"/>
      <c r="PGR2" s="525"/>
      <c r="PGS2" s="525"/>
      <c r="PGT2" s="525"/>
      <c r="PGU2" s="525"/>
      <c r="PGV2" s="525"/>
      <c r="PGW2" s="525"/>
      <c r="PGX2" s="525"/>
      <c r="PGY2" s="525"/>
      <c r="PGZ2" s="525"/>
      <c r="PHA2" s="525"/>
      <c r="PHB2" s="525"/>
      <c r="PHC2" s="525"/>
      <c r="PHD2" s="525"/>
      <c r="PHE2" s="525"/>
      <c r="PHF2" s="525"/>
      <c r="PHG2" s="525"/>
      <c r="PHH2" s="525"/>
      <c r="PHI2" s="525"/>
      <c r="PHJ2" s="525"/>
      <c r="PHK2" s="525"/>
      <c r="PHL2" s="525"/>
      <c r="PHM2" s="525"/>
      <c r="PHN2" s="525"/>
      <c r="PHO2" s="525"/>
      <c r="PHP2" s="525"/>
      <c r="PHQ2" s="525"/>
      <c r="PHR2" s="525"/>
      <c r="PHS2" s="525"/>
      <c r="PHT2" s="525"/>
      <c r="PHU2" s="525"/>
      <c r="PHV2" s="525"/>
      <c r="PHW2" s="525"/>
      <c r="PHX2" s="525"/>
      <c r="PHY2" s="525"/>
      <c r="PHZ2" s="525"/>
      <c r="PIA2" s="525"/>
      <c r="PIB2" s="525"/>
      <c r="PIC2" s="525"/>
      <c r="PID2" s="525"/>
      <c r="PIE2" s="525"/>
      <c r="PIF2" s="525"/>
      <c r="PIG2" s="525"/>
      <c r="PIH2" s="525"/>
      <c r="PII2" s="525"/>
      <c r="PIJ2" s="525"/>
      <c r="PIK2" s="525"/>
      <c r="PIL2" s="525"/>
      <c r="PIM2" s="525"/>
      <c r="PIN2" s="525"/>
      <c r="PIO2" s="525"/>
      <c r="PIP2" s="525"/>
      <c r="PIQ2" s="525"/>
      <c r="PIR2" s="525"/>
      <c r="PIS2" s="525"/>
      <c r="PIT2" s="525"/>
      <c r="PIU2" s="525"/>
      <c r="PIV2" s="525"/>
      <c r="PIW2" s="525"/>
      <c r="PIX2" s="525"/>
      <c r="PIY2" s="525"/>
      <c r="PIZ2" s="525"/>
      <c r="PJA2" s="525"/>
      <c r="PJB2" s="525"/>
      <c r="PJC2" s="525"/>
      <c r="PJD2" s="525"/>
      <c r="PJE2" s="525"/>
      <c r="PJF2" s="525"/>
      <c r="PJG2" s="525"/>
      <c r="PJH2" s="525"/>
      <c r="PJI2" s="525"/>
      <c r="PJJ2" s="525"/>
      <c r="PJK2" s="525"/>
      <c r="PJL2" s="525"/>
      <c r="PJM2" s="525"/>
      <c r="PJN2" s="525"/>
      <c r="PJO2" s="525"/>
      <c r="PJP2" s="525"/>
      <c r="PJQ2" s="525"/>
      <c r="PJR2" s="525"/>
      <c r="PJS2" s="525"/>
      <c r="PJT2" s="525"/>
      <c r="PJU2" s="525"/>
      <c r="PJV2" s="525"/>
      <c r="PJW2" s="525"/>
      <c r="PJX2" s="525"/>
      <c r="PJY2" s="525"/>
      <c r="PJZ2" s="525"/>
      <c r="PKA2" s="525"/>
      <c r="PKB2" s="525"/>
      <c r="PKC2" s="525"/>
      <c r="PKD2" s="525"/>
      <c r="PKE2" s="525"/>
      <c r="PKF2" s="525"/>
      <c r="PKG2" s="525"/>
      <c r="PKH2" s="525"/>
      <c r="PKI2" s="525"/>
      <c r="PKJ2" s="525"/>
      <c r="PKK2" s="525"/>
      <c r="PKL2" s="525"/>
      <c r="PKM2" s="525"/>
      <c r="PKN2" s="525"/>
      <c r="PKO2" s="525"/>
      <c r="PKP2" s="525"/>
      <c r="PKQ2" s="525"/>
      <c r="PKR2" s="525"/>
      <c r="PKS2" s="525"/>
      <c r="PKT2" s="525"/>
      <c r="PKU2" s="525"/>
      <c r="PKV2" s="525"/>
      <c r="PKW2" s="525"/>
      <c r="PKX2" s="525"/>
      <c r="PKY2" s="525"/>
      <c r="PKZ2" s="525"/>
      <c r="PLA2" s="525"/>
      <c r="PLB2" s="525"/>
      <c r="PLC2" s="525"/>
      <c r="PLD2" s="525"/>
      <c r="PLE2" s="525"/>
      <c r="PLF2" s="525"/>
      <c r="PLG2" s="525"/>
      <c r="PLH2" s="525"/>
      <c r="PLI2" s="525"/>
      <c r="PLJ2" s="525"/>
      <c r="PLK2" s="525"/>
      <c r="PLL2" s="525"/>
      <c r="PLM2" s="525"/>
      <c r="PLN2" s="525"/>
      <c r="PLO2" s="525"/>
      <c r="PLP2" s="525"/>
      <c r="PLQ2" s="525"/>
      <c r="PLR2" s="525"/>
      <c r="PLS2" s="525"/>
      <c r="PLT2" s="525"/>
      <c r="PLU2" s="525"/>
      <c r="PLV2" s="525"/>
      <c r="PLW2" s="525"/>
      <c r="PLX2" s="525"/>
      <c r="PLY2" s="525"/>
      <c r="PLZ2" s="525"/>
      <c r="PMA2" s="525"/>
      <c r="PMB2" s="525"/>
      <c r="PMC2" s="525"/>
      <c r="PMD2" s="525"/>
      <c r="PME2" s="525"/>
      <c r="PMF2" s="525"/>
      <c r="PMG2" s="525"/>
      <c r="PMH2" s="525"/>
      <c r="PMI2" s="525"/>
      <c r="PMJ2" s="525"/>
      <c r="PMK2" s="525"/>
      <c r="PML2" s="525"/>
      <c r="PMM2" s="525"/>
      <c r="PMN2" s="525"/>
      <c r="PMO2" s="525"/>
      <c r="PMP2" s="525"/>
      <c r="PMQ2" s="525"/>
      <c r="PMR2" s="525"/>
      <c r="PMS2" s="525"/>
      <c r="PMT2" s="525"/>
      <c r="PMU2" s="525"/>
      <c r="PMV2" s="525"/>
      <c r="PMW2" s="525"/>
      <c r="PMX2" s="525"/>
      <c r="PMY2" s="525"/>
      <c r="PMZ2" s="525"/>
      <c r="PNA2" s="525"/>
      <c r="PNB2" s="525"/>
      <c r="PNC2" s="525"/>
      <c r="PND2" s="525"/>
      <c r="PNE2" s="525"/>
      <c r="PNF2" s="525"/>
      <c r="PNG2" s="525"/>
      <c r="PNH2" s="525"/>
      <c r="PNI2" s="525"/>
      <c r="PNJ2" s="525"/>
      <c r="PNK2" s="525"/>
      <c r="PNL2" s="525"/>
      <c r="PNM2" s="525"/>
      <c r="PNN2" s="525"/>
      <c r="PNO2" s="525"/>
      <c r="PNP2" s="525"/>
      <c r="PNQ2" s="525"/>
      <c r="PNR2" s="525"/>
      <c r="PNS2" s="525"/>
      <c r="PNT2" s="525"/>
      <c r="PNU2" s="525"/>
      <c r="PNV2" s="525"/>
      <c r="PNW2" s="525"/>
      <c r="PNX2" s="525"/>
      <c r="PNY2" s="525"/>
      <c r="PNZ2" s="525"/>
      <c r="POA2" s="525"/>
      <c r="POB2" s="525"/>
      <c r="POC2" s="525"/>
      <c r="POD2" s="525"/>
      <c r="POE2" s="525"/>
      <c r="POF2" s="525"/>
      <c r="POG2" s="525"/>
      <c r="POH2" s="525"/>
      <c r="POI2" s="525"/>
      <c r="POJ2" s="525"/>
      <c r="POK2" s="525"/>
      <c r="POL2" s="525"/>
      <c r="POM2" s="525"/>
      <c r="PON2" s="525"/>
      <c r="POO2" s="525"/>
      <c r="POP2" s="525"/>
      <c r="POQ2" s="525"/>
      <c r="POR2" s="525"/>
      <c r="POS2" s="525"/>
      <c r="POT2" s="525"/>
      <c r="POU2" s="525"/>
      <c r="POV2" s="525"/>
      <c r="POW2" s="525"/>
      <c r="POX2" s="525"/>
      <c r="POY2" s="525"/>
      <c r="POZ2" s="525"/>
      <c r="PPA2" s="525"/>
      <c r="PPB2" s="525"/>
      <c r="PPC2" s="525"/>
      <c r="PPD2" s="525"/>
      <c r="PPE2" s="525"/>
      <c r="PPF2" s="525"/>
      <c r="PPG2" s="525"/>
      <c r="PPH2" s="525"/>
      <c r="PPI2" s="525"/>
      <c r="PPJ2" s="525"/>
      <c r="PPK2" s="525"/>
      <c r="PPL2" s="525"/>
      <c r="PPM2" s="525"/>
      <c r="PPN2" s="525"/>
      <c r="PPO2" s="525"/>
      <c r="PPP2" s="525"/>
      <c r="PPQ2" s="525"/>
      <c r="PPR2" s="525"/>
      <c r="PPS2" s="525"/>
      <c r="PPT2" s="525"/>
      <c r="PPU2" s="525"/>
      <c r="PPV2" s="525"/>
      <c r="PPW2" s="525"/>
      <c r="PPX2" s="525"/>
      <c r="PPY2" s="525"/>
      <c r="PPZ2" s="525"/>
      <c r="PQA2" s="525"/>
      <c r="PQB2" s="525"/>
      <c r="PQC2" s="525"/>
      <c r="PQD2" s="525"/>
      <c r="PQE2" s="525"/>
      <c r="PQF2" s="525"/>
      <c r="PQG2" s="525"/>
      <c r="PQH2" s="525"/>
      <c r="PQI2" s="525"/>
      <c r="PQJ2" s="525"/>
      <c r="PQK2" s="525"/>
      <c r="PQL2" s="525"/>
      <c r="PQM2" s="525"/>
      <c r="PQN2" s="525"/>
      <c r="PQO2" s="525"/>
      <c r="PQP2" s="525"/>
      <c r="PQQ2" s="525"/>
      <c r="PQR2" s="525"/>
      <c r="PQS2" s="525"/>
      <c r="PQT2" s="525"/>
      <c r="PQU2" s="525"/>
      <c r="PQV2" s="525"/>
      <c r="PQW2" s="525"/>
      <c r="PQX2" s="525"/>
      <c r="PQY2" s="525"/>
      <c r="PQZ2" s="525"/>
      <c r="PRA2" s="525"/>
      <c r="PRB2" s="525"/>
      <c r="PRC2" s="525"/>
      <c r="PRD2" s="525"/>
      <c r="PRE2" s="525"/>
      <c r="PRF2" s="525"/>
      <c r="PRG2" s="525"/>
      <c r="PRH2" s="525"/>
      <c r="PRI2" s="525"/>
      <c r="PRJ2" s="525"/>
      <c r="PRK2" s="525"/>
      <c r="PRL2" s="525"/>
      <c r="PRM2" s="525"/>
      <c r="PRN2" s="525"/>
      <c r="PRO2" s="525"/>
      <c r="PRP2" s="525"/>
      <c r="PRQ2" s="525"/>
      <c r="PRR2" s="525"/>
      <c r="PRS2" s="525"/>
      <c r="PRT2" s="525"/>
      <c r="PRU2" s="525"/>
      <c r="PRV2" s="525"/>
      <c r="PRW2" s="525"/>
      <c r="PRX2" s="525"/>
      <c r="PRY2" s="525"/>
      <c r="PRZ2" s="525"/>
      <c r="PSA2" s="525"/>
      <c r="PSB2" s="525"/>
      <c r="PSC2" s="525"/>
      <c r="PSD2" s="525"/>
      <c r="PSE2" s="525"/>
      <c r="PSF2" s="525"/>
      <c r="PSG2" s="525"/>
      <c r="PSH2" s="525"/>
      <c r="PSI2" s="525"/>
      <c r="PSJ2" s="525"/>
      <c r="PSK2" s="525"/>
      <c r="PSL2" s="525"/>
      <c r="PSM2" s="525"/>
      <c r="PSN2" s="525"/>
      <c r="PSO2" s="525"/>
      <c r="PSP2" s="525"/>
      <c r="PSQ2" s="525"/>
      <c r="PSR2" s="525"/>
      <c r="PSS2" s="525"/>
      <c r="PST2" s="525"/>
      <c r="PSU2" s="525"/>
      <c r="PSV2" s="525"/>
      <c r="PSW2" s="525"/>
      <c r="PSX2" s="525"/>
      <c r="PSY2" s="525"/>
      <c r="PSZ2" s="525"/>
      <c r="PTA2" s="525"/>
      <c r="PTB2" s="525"/>
      <c r="PTC2" s="525"/>
      <c r="PTD2" s="525"/>
      <c r="PTE2" s="525"/>
      <c r="PTF2" s="525"/>
      <c r="PTG2" s="525"/>
      <c r="PTH2" s="525"/>
      <c r="PTI2" s="525"/>
      <c r="PTJ2" s="525"/>
      <c r="PTK2" s="525"/>
      <c r="PTL2" s="525"/>
      <c r="PTM2" s="525"/>
      <c r="PTN2" s="525"/>
      <c r="PTO2" s="525"/>
      <c r="PTP2" s="525"/>
      <c r="PTQ2" s="525"/>
      <c r="PTR2" s="525"/>
      <c r="PTS2" s="525"/>
      <c r="PTT2" s="525"/>
      <c r="PTU2" s="525"/>
      <c r="PTV2" s="525"/>
      <c r="PTW2" s="525"/>
      <c r="PTX2" s="525"/>
      <c r="PTY2" s="525"/>
      <c r="PTZ2" s="525"/>
      <c r="PUA2" s="525"/>
      <c r="PUB2" s="525"/>
      <c r="PUC2" s="525"/>
      <c r="PUD2" s="525"/>
      <c r="PUE2" s="525"/>
      <c r="PUF2" s="525"/>
      <c r="PUG2" s="525"/>
      <c r="PUH2" s="525"/>
      <c r="PUI2" s="525"/>
      <c r="PUJ2" s="525"/>
      <c r="PUK2" s="525"/>
      <c r="PUL2" s="525"/>
      <c r="PUM2" s="525"/>
      <c r="PUN2" s="525"/>
      <c r="PUO2" s="525"/>
      <c r="PUP2" s="525"/>
      <c r="PUQ2" s="525"/>
      <c r="PUR2" s="525"/>
      <c r="PUS2" s="525"/>
      <c r="PUT2" s="525"/>
      <c r="PUU2" s="525"/>
      <c r="PUV2" s="525"/>
      <c r="PUW2" s="525"/>
      <c r="PUX2" s="525"/>
      <c r="PUY2" s="525"/>
      <c r="PUZ2" s="525"/>
      <c r="PVA2" s="525"/>
      <c r="PVB2" s="525"/>
      <c r="PVC2" s="525"/>
      <c r="PVD2" s="525"/>
      <c r="PVE2" s="525"/>
      <c r="PVF2" s="525"/>
      <c r="PVG2" s="525"/>
      <c r="PVH2" s="525"/>
      <c r="PVI2" s="525"/>
      <c r="PVJ2" s="525"/>
      <c r="PVK2" s="525"/>
      <c r="PVL2" s="525"/>
      <c r="PVM2" s="525"/>
      <c r="PVN2" s="525"/>
      <c r="PVO2" s="525"/>
      <c r="PVP2" s="525"/>
      <c r="PVQ2" s="525"/>
      <c r="PVR2" s="525"/>
      <c r="PVS2" s="525"/>
      <c r="PVT2" s="525"/>
      <c r="PVU2" s="525"/>
      <c r="PVV2" s="525"/>
      <c r="PVW2" s="525"/>
      <c r="PVX2" s="525"/>
      <c r="PVY2" s="525"/>
      <c r="PVZ2" s="525"/>
      <c r="PWA2" s="525"/>
      <c r="PWB2" s="525"/>
      <c r="PWC2" s="525"/>
      <c r="PWD2" s="525"/>
      <c r="PWE2" s="525"/>
      <c r="PWF2" s="525"/>
      <c r="PWG2" s="525"/>
      <c r="PWH2" s="525"/>
      <c r="PWI2" s="525"/>
      <c r="PWJ2" s="525"/>
      <c r="PWK2" s="525"/>
      <c r="PWL2" s="525"/>
      <c r="PWM2" s="525"/>
      <c r="PWN2" s="525"/>
      <c r="PWO2" s="525"/>
      <c r="PWP2" s="525"/>
      <c r="PWQ2" s="525"/>
      <c r="PWR2" s="525"/>
      <c r="PWS2" s="525"/>
      <c r="PWT2" s="525"/>
      <c r="PWU2" s="525"/>
      <c r="PWV2" s="525"/>
      <c r="PWW2" s="525"/>
      <c r="PWX2" s="525"/>
      <c r="PWY2" s="525"/>
      <c r="PWZ2" s="525"/>
      <c r="PXA2" s="525"/>
      <c r="PXB2" s="525"/>
      <c r="PXC2" s="525"/>
      <c r="PXD2" s="525"/>
      <c r="PXE2" s="525"/>
      <c r="PXF2" s="525"/>
      <c r="PXG2" s="525"/>
      <c r="PXH2" s="525"/>
      <c r="PXI2" s="525"/>
      <c r="PXJ2" s="525"/>
      <c r="PXK2" s="525"/>
      <c r="PXL2" s="525"/>
      <c r="PXM2" s="525"/>
      <c r="PXN2" s="525"/>
      <c r="PXO2" s="525"/>
      <c r="PXP2" s="525"/>
      <c r="PXQ2" s="525"/>
      <c r="PXR2" s="525"/>
      <c r="PXS2" s="525"/>
      <c r="PXT2" s="525"/>
      <c r="PXU2" s="525"/>
      <c r="PXV2" s="525"/>
      <c r="PXW2" s="525"/>
      <c r="PXX2" s="525"/>
      <c r="PXY2" s="525"/>
      <c r="PXZ2" s="525"/>
      <c r="PYA2" s="525"/>
      <c r="PYB2" s="525"/>
      <c r="PYC2" s="525"/>
      <c r="PYD2" s="525"/>
      <c r="PYE2" s="525"/>
      <c r="PYF2" s="525"/>
      <c r="PYG2" s="525"/>
      <c r="PYH2" s="525"/>
      <c r="PYI2" s="525"/>
      <c r="PYJ2" s="525"/>
      <c r="PYK2" s="525"/>
      <c r="PYL2" s="525"/>
      <c r="PYM2" s="525"/>
      <c r="PYN2" s="525"/>
      <c r="PYO2" s="525"/>
      <c r="PYP2" s="525"/>
      <c r="PYQ2" s="525"/>
      <c r="PYR2" s="525"/>
      <c r="PYS2" s="525"/>
      <c r="PYT2" s="525"/>
      <c r="PYU2" s="525"/>
      <c r="PYV2" s="525"/>
      <c r="PYW2" s="525"/>
      <c r="PYX2" s="525"/>
      <c r="PYY2" s="525"/>
      <c r="PYZ2" s="525"/>
      <c r="PZA2" s="525"/>
      <c r="PZB2" s="525"/>
      <c r="PZC2" s="525"/>
      <c r="PZD2" s="525"/>
      <c r="PZE2" s="525"/>
      <c r="PZF2" s="525"/>
      <c r="PZG2" s="525"/>
      <c r="PZH2" s="525"/>
      <c r="PZI2" s="525"/>
      <c r="PZJ2" s="525"/>
      <c r="PZK2" s="525"/>
      <c r="PZL2" s="525"/>
      <c r="PZM2" s="525"/>
      <c r="PZN2" s="525"/>
      <c r="PZO2" s="525"/>
      <c r="PZP2" s="525"/>
      <c r="PZQ2" s="525"/>
      <c r="PZR2" s="525"/>
      <c r="PZS2" s="525"/>
      <c r="PZT2" s="525"/>
      <c r="PZU2" s="525"/>
      <c r="PZV2" s="525"/>
      <c r="PZW2" s="525"/>
      <c r="PZX2" s="525"/>
      <c r="PZY2" s="525"/>
      <c r="PZZ2" s="525"/>
      <c r="QAA2" s="525"/>
      <c r="QAB2" s="525"/>
      <c r="QAC2" s="525"/>
      <c r="QAD2" s="525"/>
      <c r="QAE2" s="525"/>
      <c r="QAF2" s="525"/>
      <c r="QAG2" s="525"/>
      <c r="QAH2" s="525"/>
      <c r="QAI2" s="525"/>
      <c r="QAJ2" s="525"/>
      <c r="QAK2" s="525"/>
      <c r="QAL2" s="525"/>
      <c r="QAM2" s="525"/>
      <c r="QAN2" s="525"/>
      <c r="QAO2" s="525"/>
      <c r="QAP2" s="525"/>
      <c r="QAQ2" s="525"/>
      <c r="QAR2" s="525"/>
      <c r="QAS2" s="525"/>
      <c r="QAT2" s="525"/>
      <c r="QAU2" s="525"/>
      <c r="QAV2" s="525"/>
      <c r="QAW2" s="525"/>
      <c r="QAX2" s="525"/>
      <c r="QAY2" s="525"/>
      <c r="QAZ2" s="525"/>
      <c r="QBA2" s="525"/>
      <c r="QBB2" s="525"/>
      <c r="QBC2" s="525"/>
      <c r="QBD2" s="525"/>
      <c r="QBE2" s="525"/>
      <c r="QBF2" s="525"/>
      <c r="QBG2" s="525"/>
      <c r="QBH2" s="525"/>
      <c r="QBI2" s="525"/>
      <c r="QBJ2" s="525"/>
      <c r="QBK2" s="525"/>
      <c r="QBL2" s="525"/>
      <c r="QBM2" s="525"/>
      <c r="QBN2" s="525"/>
      <c r="QBO2" s="525"/>
      <c r="QBP2" s="525"/>
      <c r="QBQ2" s="525"/>
      <c r="QBR2" s="525"/>
      <c r="QBS2" s="525"/>
      <c r="QBT2" s="525"/>
      <c r="QBU2" s="525"/>
      <c r="QBV2" s="525"/>
      <c r="QBW2" s="525"/>
      <c r="QBX2" s="525"/>
      <c r="QBY2" s="525"/>
      <c r="QBZ2" s="525"/>
      <c r="QCA2" s="525"/>
      <c r="QCB2" s="525"/>
      <c r="QCC2" s="525"/>
      <c r="QCD2" s="525"/>
      <c r="QCE2" s="525"/>
      <c r="QCF2" s="525"/>
      <c r="QCG2" s="525"/>
      <c r="QCH2" s="525"/>
      <c r="QCI2" s="525"/>
      <c r="QCJ2" s="525"/>
      <c r="QCK2" s="525"/>
      <c r="QCL2" s="525"/>
      <c r="QCM2" s="525"/>
      <c r="QCN2" s="525"/>
      <c r="QCO2" s="525"/>
      <c r="QCP2" s="525"/>
      <c r="QCQ2" s="525"/>
      <c r="QCR2" s="525"/>
      <c r="QCS2" s="525"/>
      <c r="QCT2" s="525"/>
      <c r="QCU2" s="525"/>
      <c r="QCV2" s="525"/>
      <c r="QCW2" s="525"/>
      <c r="QCX2" s="525"/>
      <c r="QCY2" s="525"/>
      <c r="QCZ2" s="525"/>
      <c r="QDA2" s="525"/>
      <c r="QDB2" s="525"/>
      <c r="QDC2" s="525"/>
      <c r="QDD2" s="525"/>
      <c r="QDE2" s="525"/>
      <c r="QDF2" s="525"/>
      <c r="QDG2" s="525"/>
      <c r="QDH2" s="525"/>
      <c r="QDI2" s="525"/>
      <c r="QDJ2" s="525"/>
      <c r="QDK2" s="525"/>
      <c r="QDL2" s="525"/>
      <c r="QDM2" s="525"/>
      <c r="QDN2" s="525"/>
      <c r="QDO2" s="525"/>
      <c r="QDP2" s="525"/>
      <c r="QDQ2" s="525"/>
      <c r="QDR2" s="525"/>
      <c r="QDS2" s="525"/>
      <c r="QDT2" s="525"/>
      <c r="QDU2" s="525"/>
      <c r="QDV2" s="525"/>
      <c r="QDW2" s="525"/>
      <c r="QDX2" s="525"/>
      <c r="QDY2" s="525"/>
      <c r="QDZ2" s="525"/>
      <c r="QEA2" s="525"/>
      <c r="QEB2" s="525"/>
      <c r="QEC2" s="525"/>
      <c r="QED2" s="525"/>
      <c r="QEE2" s="525"/>
      <c r="QEF2" s="525"/>
      <c r="QEG2" s="525"/>
      <c r="QEH2" s="525"/>
      <c r="QEI2" s="525"/>
      <c r="QEJ2" s="525"/>
      <c r="QEK2" s="525"/>
      <c r="QEL2" s="525"/>
      <c r="QEM2" s="525"/>
      <c r="QEN2" s="525"/>
      <c r="QEO2" s="525"/>
      <c r="QEP2" s="525"/>
      <c r="QEQ2" s="525"/>
      <c r="QER2" s="525"/>
      <c r="QES2" s="525"/>
      <c r="QET2" s="525"/>
      <c r="QEU2" s="525"/>
      <c r="QEV2" s="525"/>
      <c r="QEW2" s="525"/>
      <c r="QEX2" s="525"/>
      <c r="QEY2" s="525"/>
      <c r="QEZ2" s="525"/>
      <c r="QFA2" s="525"/>
      <c r="QFB2" s="525"/>
      <c r="QFC2" s="525"/>
      <c r="QFD2" s="525"/>
      <c r="QFE2" s="525"/>
      <c r="QFF2" s="525"/>
      <c r="QFG2" s="525"/>
      <c r="QFH2" s="525"/>
      <c r="QFI2" s="525"/>
      <c r="QFJ2" s="525"/>
      <c r="QFK2" s="525"/>
      <c r="QFL2" s="525"/>
      <c r="QFM2" s="525"/>
      <c r="QFN2" s="525"/>
      <c r="QFO2" s="525"/>
      <c r="QFP2" s="525"/>
      <c r="QFQ2" s="525"/>
      <c r="QFR2" s="525"/>
      <c r="QFS2" s="525"/>
      <c r="QFT2" s="525"/>
      <c r="QFU2" s="525"/>
      <c r="QFV2" s="525"/>
      <c r="QFW2" s="525"/>
      <c r="QFX2" s="525"/>
      <c r="QFY2" s="525"/>
      <c r="QFZ2" s="525"/>
      <c r="QGA2" s="525"/>
      <c r="QGB2" s="525"/>
      <c r="QGC2" s="525"/>
      <c r="QGD2" s="525"/>
      <c r="QGE2" s="525"/>
      <c r="QGF2" s="525"/>
      <c r="QGG2" s="525"/>
      <c r="QGH2" s="525"/>
      <c r="QGI2" s="525"/>
      <c r="QGJ2" s="525"/>
      <c r="QGK2" s="525"/>
      <c r="QGL2" s="525"/>
      <c r="QGM2" s="525"/>
      <c r="QGN2" s="525"/>
      <c r="QGO2" s="525"/>
      <c r="QGP2" s="525"/>
      <c r="QGQ2" s="525"/>
      <c r="QGR2" s="525"/>
      <c r="QGS2" s="525"/>
      <c r="QGT2" s="525"/>
      <c r="QGU2" s="525"/>
      <c r="QGV2" s="525"/>
      <c r="QGW2" s="525"/>
      <c r="QGX2" s="525"/>
      <c r="QGY2" s="525"/>
      <c r="QGZ2" s="525"/>
      <c r="QHA2" s="525"/>
      <c r="QHB2" s="525"/>
      <c r="QHC2" s="525"/>
      <c r="QHD2" s="525"/>
      <c r="QHE2" s="525"/>
      <c r="QHF2" s="525"/>
      <c r="QHG2" s="525"/>
      <c r="QHH2" s="525"/>
      <c r="QHI2" s="525"/>
      <c r="QHJ2" s="525"/>
      <c r="QHK2" s="525"/>
      <c r="QHL2" s="525"/>
      <c r="QHM2" s="525"/>
      <c r="QHN2" s="525"/>
      <c r="QHO2" s="525"/>
      <c r="QHP2" s="525"/>
      <c r="QHQ2" s="525"/>
      <c r="QHR2" s="525"/>
      <c r="QHS2" s="525"/>
      <c r="QHT2" s="525"/>
      <c r="QHU2" s="525"/>
      <c r="QHV2" s="525"/>
      <c r="QHW2" s="525"/>
      <c r="QHX2" s="525"/>
      <c r="QHY2" s="525"/>
      <c r="QHZ2" s="525"/>
      <c r="QIA2" s="525"/>
      <c r="QIB2" s="525"/>
      <c r="QIC2" s="525"/>
      <c r="QID2" s="525"/>
      <c r="QIE2" s="525"/>
      <c r="QIF2" s="525"/>
      <c r="QIG2" s="525"/>
      <c r="QIH2" s="525"/>
      <c r="QII2" s="525"/>
      <c r="QIJ2" s="525"/>
      <c r="QIK2" s="525"/>
      <c r="QIL2" s="525"/>
      <c r="QIM2" s="525"/>
      <c r="QIN2" s="525"/>
      <c r="QIO2" s="525"/>
      <c r="QIP2" s="525"/>
      <c r="QIQ2" s="525"/>
      <c r="QIR2" s="525"/>
      <c r="QIS2" s="525"/>
      <c r="QIT2" s="525"/>
      <c r="QIU2" s="525"/>
      <c r="QIV2" s="525"/>
      <c r="QIW2" s="525"/>
      <c r="QIX2" s="525"/>
      <c r="QIY2" s="525"/>
      <c r="QIZ2" s="525"/>
      <c r="QJA2" s="525"/>
      <c r="QJB2" s="525"/>
      <c r="QJC2" s="525"/>
      <c r="QJD2" s="525"/>
      <c r="QJE2" s="525"/>
      <c r="QJF2" s="525"/>
      <c r="QJG2" s="525"/>
      <c r="QJH2" s="525"/>
      <c r="QJI2" s="525"/>
      <c r="QJJ2" s="525"/>
      <c r="QJK2" s="525"/>
      <c r="QJL2" s="525"/>
      <c r="QJM2" s="525"/>
      <c r="QJN2" s="525"/>
      <c r="QJO2" s="525"/>
      <c r="QJP2" s="525"/>
      <c r="QJQ2" s="525"/>
      <c r="QJR2" s="525"/>
      <c r="QJS2" s="525"/>
      <c r="QJT2" s="525"/>
      <c r="QJU2" s="525"/>
      <c r="QJV2" s="525"/>
      <c r="QJW2" s="525"/>
      <c r="QJX2" s="525"/>
      <c r="QJY2" s="525"/>
      <c r="QJZ2" s="525"/>
      <c r="QKA2" s="525"/>
      <c r="QKB2" s="525"/>
      <c r="QKC2" s="525"/>
      <c r="QKD2" s="525"/>
      <c r="QKE2" s="525"/>
      <c r="QKF2" s="525"/>
      <c r="QKG2" s="525"/>
      <c r="QKH2" s="525"/>
      <c r="QKI2" s="525"/>
      <c r="QKJ2" s="525"/>
      <c r="QKK2" s="525"/>
      <c r="QKL2" s="525"/>
      <c r="QKM2" s="525"/>
      <c r="QKN2" s="525"/>
      <c r="QKO2" s="525"/>
      <c r="QKP2" s="525"/>
      <c r="QKQ2" s="525"/>
      <c r="QKR2" s="525"/>
      <c r="QKS2" s="525"/>
      <c r="QKT2" s="525"/>
      <c r="QKU2" s="525"/>
      <c r="QKV2" s="525"/>
      <c r="QKW2" s="525"/>
      <c r="QKX2" s="525"/>
      <c r="QKY2" s="525"/>
      <c r="QKZ2" s="525"/>
      <c r="QLA2" s="525"/>
      <c r="QLB2" s="525"/>
      <c r="QLC2" s="525"/>
      <c r="QLD2" s="525"/>
      <c r="QLE2" s="525"/>
      <c r="QLF2" s="525"/>
      <c r="QLG2" s="525"/>
      <c r="QLH2" s="525"/>
      <c r="QLI2" s="525"/>
      <c r="QLJ2" s="525"/>
      <c r="QLK2" s="525"/>
      <c r="QLL2" s="525"/>
      <c r="QLM2" s="525"/>
      <c r="QLN2" s="525"/>
      <c r="QLO2" s="525"/>
      <c r="QLP2" s="525"/>
      <c r="QLQ2" s="525"/>
      <c r="QLR2" s="525"/>
      <c r="QLS2" s="525"/>
      <c r="QLT2" s="525"/>
      <c r="QLU2" s="525"/>
      <c r="QLV2" s="525"/>
      <c r="QLW2" s="525"/>
      <c r="QLX2" s="525"/>
      <c r="QLY2" s="525"/>
      <c r="QLZ2" s="525"/>
      <c r="QMA2" s="525"/>
      <c r="QMB2" s="525"/>
      <c r="QMC2" s="525"/>
      <c r="QMD2" s="525"/>
      <c r="QME2" s="525"/>
      <c r="QMF2" s="525"/>
      <c r="QMG2" s="525"/>
      <c r="QMH2" s="525"/>
      <c r="QMI2" s="525"/>
      <c r="QMJ2" s="525"/>
      <c r="QMK2" s="525"/>
      <c r="QML2" s="525"/>
      <c r="QMM2" s="525"/>
      <c r="QMN2" s="525"/>
      <c r="QMO2" s="525"/>
      <c r="QMP2" s="525"/>
      <c r="QMQ2" s="525"/>
      <c r="QMR2" s="525"/>
      <c r="QMS2" s="525"/>
      <c r="QMT2" s="525"/>
      <c r="QMU2" s="525"/>
      <c r="QMV2" s="525"/>
      <c r="QMW2" s="525"/>
      <c r="QMX2" s="525"/>
      <c r="QMY2" s="525"/>
      <c r="QMZ2" s="525"/>
      <c r="QNA2" s="525"/>
      <c r="QNB2" s="525"/>
      <c r="QNC2" s="525"/>
      <c r="QND2" s="525"/>
      <c r="QNE2" s="525"/>
      <c r="QNF2" s="525"/>
      <c r="QNG2" s="525"/>
      <c r="QNH2" s="525"/>
      <c r="QNI2" s="525"/>
      <c r="QNJ2" s="525"/>
      <c r="QNK2" s="525"/>
      <c r="QNL2" s="525"/>
      <c r="QNM2" s="525"/>
      <c r="QNN2" s="525"/>
      <c r="QNO2" s="525"/>
      <c r="QNP2" s="525"/>
      <c r="QNQ2" s="525"/>
      <c r="QNR2" s="525"/>
      <c r="QNS2" s="525"/>
      <c r="QNT2" s="525"/>
      <c r="QNU2" s="525"/>
      <c r="QNV2" s="525"/>
      <c r="QNW2" s="525"/>
      <c r="QNX2" s="525"/>
      <c r="QNY2" s="525"/>
      <c r="QNZ2" s="525"/>
      <c r="QOA2" s="525"/>
      <c r="QOB2" s="525"/>
      <c r="QOC2" s="525"/>
      <c r="QOD2" s="525"/>
      <c r="QOE2" s="525"/>
      <c r="QOF2" s="525"/>
      <c r="QOG2" s="525"/>
      <c r="QOH2" s="525"/>
      <c r="QOI2" s="525"/>
      <c r="QOJ2" s="525"/>
      <c r="QOK2" s="525"/>
      <c r="QOL2" s="525"/>
      <c r="QOM2" s="525"/>
      <c r="QON2" s="525"/>
      <c r="QOO2" s="525"/>
      <c r="QOP2" s="525"/>
      <c r="QOQ2" s="525"/>
      <c r="QOR2" s="525"/>
      <c r="QOS2" s="525"/>
      <c r="QOT2" s="525"/>
      <c r="QOU2" s="525"/>
      <c r="QOV2" s="525"/>
      <c r="QOW2" s="525"/>
      <c r="QOX2" s="525"/>
      <c r="QOY2" s="525"/>
      <c r="QOZ2" s="525"/>
      <c r="QPA2" s="525"/>
      <c r="QPB2" s="525"/>
      <c r="QPC2" s="525"/>
      <c r="QPD2" s="525"/>
      <c r="QPE2" s="525"/>
      <c r="QPF2" s="525"/>
      <c r="QPG2" s="525"/>
      <c r="QPH2" s="525"/>
      <c r="QPI2" s="525"/>
      <c r="QPJ2" s="525"/>
      <c r="QPK2" s="525"/>
      <c r="QPL2" s="525"/>
      <c r="QPM2" s="525"/>
      <c r="QPN2" s="525"/>
      <c r="QPO2" s="525"/>
      <c r="QPP2" s="525"/>
      <c r="QPQ2" s="525"/>
      <c r="QPR2" s="525"/>
      <c r="QPS2" s="525"/>
      <c r="QPT2" s="525"/>
      <c r="QPU2" s="525"/>
      <c r="QPV2" s="525"/>
      <c r="QPW2" s="525"/>
      <c r="QPX2" s="525"/>
      <c r="QPY2" s="525"/>
      <c r="QPZ2" s="525"/>
      <c r="QQA2" s="525"/>
      <c r="QQB2" s="525"/>
      <c r="QQC2" s="525"/>
      <c r="QQD2" s="525"/>
      <c r="QQE2" s="525"/>
      <c r="QQF2" s="525"/>
      <c r="QQG2" s="525"/>
      <c r="QQH2" s="525"/>
      <c r="QQI2" s="525"/>
      <c r="QQJ2" s="525"/>
      <c r="QQK2" s="525"/>
      <c r="QQL2" s="525"/>
      <c r="QQM2" s="525"/>
      <c r="QQN2" s="525"/>
      <c r="QQO2" s="525"/>
      <c r="QQP2" s="525"/>
      <c r="QQQ2" s="525"/>
      <c r="QQR2" s="525"/>
      <c r="QQS2" s="525"/>
      <c r="QQT2" s="525"/>
      <c r="QQU2" s="525"/>
      <c r="QQV2" s="525"/>
      <c r="QQW2" s="525"/>
      <c r="QQX2" s="525"/>
      <c r="QQY2" s="525"/>
      <c r="QQZ2" s="525"/>
      <c r="QRA2" s="525"/>
      <c r="QRB2" s="525"/>
      <c r="QRC2" s="525"/>
      <c r="QRD2" s="525"/>
      <c r="QRE2" s="525"/>
      <c r="QRF2" s="525"/>
      <c r="QRG2" s="525"/>
      <c r="QRH2" s="525"/>
      <c r="QRI2" s="525"/>
      <c r="QRJ2" s="525"/>
      <c r="QRK2" s="525"/>
      <c r="QRL2" s="525"/>
      <c r="QRM2" s="525"/>
      <c r="QRN2" s="525"/>
      <c r="QRO2" s="525"/>
      <c r="QRP2" s="525"/>
      <c r="QRQ2" s="525"/>
      <c r="QRR2" s="525"/>
      <c r="QRS2" s="525"/>
      <c r="QRT2" s="525"/>
      <c r="QRU2" s="525"/>
      <c r="QRV2" s="525"/>
      <c r="QRW2" s="525"/>
      <c r="QRX2" s="525"/>
      <c r="QRY2" s="525"/>
      <c r="QRZ2" s="525"/>
      <c r="QSA2" s="525"/>
      <c r="QSB2" s="525"/>
      <c r="QSC2" s="525"/>
      <c r="QSD2" s="525"/>
      <c r="QSE2" s="525"/>
      <c r="QSF2" s="525"/>
      <c r="QSG2" s="525"/>
      <c r="QSH2" s="525"/>
      <c r="QSI2" s="525"/>
      <c r="QSJ2" s="525"/>
      <c r="QSK2" s="525"/>
      <c r="QSL2" s="525"/>
      <c r="QSM2" s="525"/>
      <c r="QSN2" s="525"/>
      <c r="QSO2" s="525"/>
      <c r="QSP2" s="525"/>
      <c r="QSQ2" s="525"/>
      <c r="QSR2" s="525"/>
      <c r="QSS2" s="525"/>
      <c r="QST2" s="525"/>
      <c r="QSU2" s="525"/>
      <c r="QSV2" s="525"/>
      <c r="QSW2" s="525"/>
      <c r="QSX2" s="525"/>
      <c r="QSY2" s="525"/>
      <c r="QSZ2" s="525"/>
      <c r="QTA2" s="525"/>
      <c r="QTB2" s="525"/>
      <c r="QTC2" s="525"/>
      <c r="QTD2" s="525"/>
      <c r="QTE2" s="525"/>
      <c r="QTF2" s="525"/>
      <c r="QTG2" s="525"/>
      <c r="QTH2" s="525"/>
      <c r="QTI2" s="525"/>
      <c r="QTJ2" s="525"/>
      <c r="QTK2" s="525"/>
      <c r="QTL2" s="525"/>
      <c r="QTM2" s="525"/>
      <c r="QTN2" s="525"/>
      <c r="QTO2" s="525"/>
      <c r="QTP2" s="525"/>
      <c r="QTQ2" s="525"/>
      <c r="QTR2" s="525"/>
      <c r="QTS2" s="525"/>
      <c r="QTT2" s="525"/>
      <c r="QTU2" s="525"/>
      <c r="QTV2" s="525"/>
      <c r="QTW2" s="525"/>
      <c r="QTX2" s="525"/>
      <c r="QTY2" s="525"/>
      <c r="QTZ2" s="525"/>
      <c r="QUA2" s="525"/>
      <c r="QUB2" s="525"/>
      <c r="QUC2" s="525"/>
      <c r="QUD2" s="525"/>
      <c r="QUE2" s="525"/>
      <c r="QUF2" s="525"/>
      <c r="QUG2" s="525"/>
      <c r="QUH2" s="525"/>
      <c r="QUI2" s="525"/>
      <c r="QUJ2" s="525"/>
      <c r="QUK2" s="525"/>
      <c r="QUL2" s="525"/>
      <c r="QUM2" s="525"/>
      <c r="QUN2" s="525"/>
      <c r="QUO2" s="525"/>
      <c r="QUP2" s="525"/>
      <c r="QUQ2" s="525"/>
      <c r="QUR2" s="525"/>
      <c r="QUS2" s="525"/>
      <c r="QUT2" s="525"/>
      <c r="QUU2" s="525"/>
      <c r="QUV2" s="525"/>
      <c r="QUW2" s="525"/>
      <c r="QUX2" s="525"/>
      <c r="QUY2" s="525"/>
      <c r="QUZ2" s="525"/>
      <c r="QVA2" s="525"/>
      <c r="QVB2" s="525"/>
      <c r="QVC2" s="525"/>
      <c r="QVD2" s="525"/>
      <c r="QVE2" s="525"/>
      <c r="QVF2" s="525"/>
      <c r="QVG2" s="525"/>
      <c r="QVH2" s="525"/>
      <c r="QVI2" s="525"/>
      <c r="QVJ2" s="525"/>
      <c r="QVK2" s="525"/>
      <c r="QVL2" s="525"/>
      <c r="QVM2" s="525"/>
      <c r="QVN2" s="525"/>
      <c r="QVO2" s="525"/>
      <c r="QVP2" s="525"/>
      <c r="QVQ2" s="525"/>
      <c r="QVR2" s="525"/>
      <c r="QVS2" s="525"/>
      <c r="QVT2" s="525"/>
      <c r="QVU2" s="525"/>
      <c r="QVV2" s="525"/>
      <c r="QVW2" s="525"/>
      <c r="QVX2" s="525"/>
      <c r="QVY2" s="525"/>
      <c r="QVZ2" s="525"/>
      <c r="QWA2" s="525"/>
      <c r="QWB2" s="525"/>
      <c r="QWC2" s="525"/>
      <c r="QWD2" s="525"/>
      <c r="QWE2" s="525"/>
      <c r="QWF2" s="525"/>
      <c r="QWG2" s="525"/>
      <c r="QWH2" s="525"/>
      <c r="QWI2" s="525"/>
      <c r="QWJ2" s="525"/>
      <c r="QWK2" s="525"/>
      <c r="QWL2" s="525"/>
      <c r="QWM2" s="525"/>
      <c r="QWN2" s="525"/>
      <c r="QWO2" s="525"/>
      <c r="QWP2" s="525"/>
      <c r="QWQ2" s="525"/>
      <c r="QWR2" s="525"/>
      <c r="QWS2" s="525"/>
      <c r="QWT2" s="525"/>
      <c r="QWU2" s="525"/>
      <c r="QWV2" s="525"/>
      <c r="QWW2" s="525"/>
      <c r="QWX2" s="525"/>
      <c r="QWY2" s="525"/>
      <c r="QWZ2" s="525"/>
      <c r="QXA2" s="525"/>
      <c r="QXB2" s="525"/>
      <c r="QXC2" s="525"/>
      <c r="QXD2" s="525"/>
      <c r="QXE2" s="525"/>
      <c r="QXF2" s="525"/>
      <c r="QXG2" s="525"/>
      <c r="QXH2" s="525"/>
      <c r="QXI2" s="525"/>
      <c r="QXJ2" s="525"/>
      <c r="QXK2" s="525"/>
      <c r="QXL2" s="525"/>
      <c r="QXM2" s="525"/>
      <c r="QXN2" s="525"/>
      <c r="QXO2" s="525"/>
      <c r="QXP2" s="525"/>
      <c r="QXQ2" s="525"/>
      <c r="QXR2" s="525"/>
      <c r="QXS2" s="525"/>
      <c r="QXT2" s="525"/>
      <c r="QXU2" s="525"/>
      <c r="QXV2" s="525"/>
      <c r="QXW2" s="525"/>
      <c r="QXX2" s="525"/>
      <c r="QXY2" s="525"/>
      <c r="QXZ2" s="525"/>
      <c r="QYA2" s="525"/>
      <c r="QYB2" s="525"/>
      <c r="QYC2" s="525"/>
      <c r="QYD2" s="525"/>
      <c r="QYE2" s="525"/>
      <c r="QYF2" s="525"/>
      <c r="QYG2" s="525"/>
      <c r="QYH2" s="525"/>
      <c r="QYI2" s="525"/>
      <c r="QYJ2" s="525"/>
      <c r="QYK2" s="525"/>
      <c r="QYL2" s="525"/>
      <c r="QYM2" s="525"/>
      <c r="QYN2" s="525"/>
      <c r="QYO2" s="525"/>
      <c r="QYP2" s="525"/>
      <c r="QYQ2" s="525"/>
      <c r="QYR2" s="525"/>
      <c r="QYS2" s="525"/>
      <c r="QYT2" s="525"/>
      <c r="QYU2" s="525"/>
      <c r="QYV2" s="525"/>
      <c r="QYW2" s="525"/>
      <c r="QYX2" s="525"/>
      <c r="QYY2" s="525"/>
      <c r="QYZ2" s="525"/>
      <c r="QZA2" s="525"/>
      <c r="QZB2" s="525"/>
      <c r="QZC2" s="525"/>
      <c r="QZD2" s="525"/>
      <c r="QZE2" s="525"/>
      <c r="QZF2" s="525"/>
      <c r="QZG2" s="525"/>
      <c r="QZH2" s="525"/>
      <c r="QZI2" s="525"/>
      <c r="QZJ2" s="525"/>
      <c r="QZK2" s="525"/>
      <c r="QZL2" s="525"/>
      <c r="QZM2" s="525"/>
      <c r="QZN2" s="525"/>
      <c r="QZO2" s="525"/>
      <c r="QZP2" s="525"/>
      <c r="QZQ2" s="525"/>
      <c r="QZR2" s="525"/>
      <c r="QZS2" s="525"/>
      <c r="QZT2" s="525"/>
      <c r="QZU2" s="525"/>
      <c r="QZV2" s="525"/>
      <c r="QZW2" s="525"/>
      <c r="QZX2" s="525"/>
      <c r="QZY2" s="525"/>
      <c r="QZZ2" s="525"/>
      <c r="RAA2" s="525"/>
      <c r="RAB2" s="525"/>
      <c r="RAC2" s="525"/>
      <c r="RAD2" s="525"/>
      <c r="RAE2" s="525"/>
      <c r="RAF2" s="525"/>
      <c r="RAG2" s="525"/>
      <c r="RAH2" s="525"/>
      <c r="RAI2" s="525"/>
      <c r="RAJ2" s="525"/>
      <c r="RAK2" s="525"/>
      <c r="RAL2" s="525"/>
      <c r="RAM2" s="525"/>
      <c r="RAN2" s="525"/>
      <c r="RAO2" s="525"/>
      <c r="RAP2" s="525"/>
      <c r="RAQ2" s="525"/>
      <c r="RAR2" s="525"/>
      <c r="RAS2" s="525"/>
      <c r="RAT2" s="525"/>
      <c r="RAU2" s="525"/>
      <c r="RAV2" s="525"/>
      <c r="RAW2" s="525"/>
      <c r="RAX2" s="525"/>
      <c r="RAY2" s="525"/>
      <c r="RAZ2" s="525"/>
      <c r="RBA2" s="525"/>
      <c r="RBB2" s="525"/>
      <c r="RBC2" s="525"/>
      <c r="RBD2" s="525"/>
      <c r="RBE2" s="525"/>
      <c r="RBF2" s="525"/>
      <c r="RBG2" s="525"/>
      <c r="RBH2" s="525"/>
      <c r="RBI2" s="525"/>
      <c r="RBJ2" s="525"/>
      <c r="RBK2" s="525"/>
      <c r="RBL2" s="525"/>
      <c r="RBM2" s="525"/>
      <c r="RBN2" s="525"/>
      <c r="RBO2" s="525"/>
      <c r="RBP2" s="525"/>
      <c r="RBQ2" s="525"/>
      <c r="RBR2" s="525"/>
      <c r="RBS2" s="525"/>
      <c r="RBT2" s="525"/>
      <c r="RBU2" s="525"/>
      <c r="RBV2" s="525"/>
      <c r="RBW2" s="525"/>
      <c r="RBX2" s="525"/>
      <c r="RBY2" s="525"/>
      <c r="RBZ2" s="525"/>
      <c r="RCA2" s="525"/>
      <c r="RCB2" s="525"/>
      <c r="RCC2" s="525"/>
      <c r="RCD2" s="525"/>
      <c r="RCE2" s="525"/>
      <c r="RCF2" s="525"/>
      <c r="RCG2" s="525"/>
      <c r="RCH2" s="525"/>
      <c r="RCI2" s="525"/>
      <c r="RCJ2" s="525"/>
      <c r="RCK2" s="525"/>
      <c r="RCL2" s="525"/>
      <c r="RCM2" s="525"/>
      <c r="RCN2" s="525"/>
      <c r="RCO2" s="525"/>
      <c r="RCP2" s="525"/>
      <c r="RCQ2" s="525"/>
      <c r="RCR2" s="525"/>
      <c r="RCS2" s="525"/>
      <c r="RCT2" s="525"/>
      <c r="RCU2" s="525"/>
      <c r="RCV2" s="525"/>
      <c r="RCW2" s="525"/>
      <c r="RCX2" s="525"/>
      <c r="RCY2" s="525"/>
      <c r="RCZ2" s="525"/>
      <c r="RDA2" s="525"/>
      <c r="RDB2" s="525"/>
      <c r="RDC2" s="525"/>
      <c r="RDD2" s="525"/>
      <c r="RDE2" s="525"/>
      <c r="RDF2" s="525"/>
      <c r="RDG2" s="525"/>
      <c r="RDH2" s="525"/>
      <c r="RDI2" s="525"/>
      <c r="RDJ2" s="525"/>
      <c r="RDK2" s="525"/>
      <c r="RDL2" s="525"/>
      <c r="RDM2" s="525"/>
      <c r="RDN2" s="525"/>
      <c r="RDO2" s="525"/>
      <c r="RDP2" s="525"/>
      <c r="RDQ2" s="525"/>
      <c r="RDR2" s="525"/>
      <c r="RDS2" s="525"/>
      <c r="RDT2" s="525"/>
      <c r="RDU2" s="525"/>
      <c r="RDV2" s="525"/>
      <c r="RDW2" s="525"/>
      <c r="RDX2" s="525"/>
      <c r="RDY2" s="525"/>
      <c r="RDZ2" s="525"/>
      <c r="REA2" s="525"/>
      <c r="REB2" s="525"/>
      <c r="REC2" s="525"/>
      <c r="RED2" s="525"/>
      <c r="REE2" s="525"/>
      <c r="REF2" s="525"/>
      <c r="REG2" s="525"/>
      <c r="REH2" s="525"/>
      <c r="REI2" s="525"/>
      <c r="REJ2" s="525"/>
      <c r="REK2" s="525"/>
      <c r="REL2" s="525"/>
      <c r="REM2" s="525"/>
      <c r="REN2" s="525"/>
      <c r="REO2" s="525"/>
      <c r="REP2" s="525"/>
      <c r="REQ2" s="525"/>
      <c r="RER2" s="525"/>
      <c r="RES2" s="525"/>
      <c r="RET2" s="525"/>
      <c r="REU2" s="525"/>
      <c r="REV2" s="525"/>
      <c r="REW2" s="525"/>
      <c r="REX2" s="525"/>
      <c r="REY2" s="525"/>
      <c r="REZ2" s="525"/>
      <c r="RFA2" s="525"/>
      <c r="RFB2" s="525"/>
      <c r="RFC2" s="525"/>
      <c r="RFD2" s="525"/>
      <c r="RFE2" s="525"/>
      <c r="RFF2" s="525"/>
      <c r="RFG2" s="525"/>
      <c r="RFH2" s="525"/>
      <c r="RFI2" s="525"/>
      <c r="RFJ2" s="525"/>
      <c r="RFK2" s="525"/>
      <c r="RFL2" s="525"/>
      <c r="RFM2" s="525"/>
      <c r="RFN2" s="525"/>
      <c r="RFO2" s="525"/>
      <c r="RFP2" s="525"/>
      <c r="RFQ2" s="525"/>
      <c r="RFR2" s="525"/>
      <c r="RFS2" s="525"/>
      <c r="RFT2" s="525"/>
      <c r="RFU2" s="525"/>
      <c r="RFV2" s="525"/>
      <c r="RFW2" s="525"/>
      <c r="RFX2" s="525"/>
      <c r="RFY2" s="525"/>
      <c r="RFZ2" s="525"/>
      <c r="RGA2" s="525"/>
      <c r="RGB2" s="525"/>
      <c r="RGC2" s="525"/>
      <c r="RGD2" s="525"/>
      <c r="RGE2" s="525"/>
      <c r="RGF2" s="525"/>
      <c r="RGG2" s="525"/>
      <c r="RGH2" s="525"/>
      <c r="RGI2" s="525"/>
      <c r="RGJ2" s="525"/>
      <c r="RGK2" s="525"/>
      <c r="RGL2" s="525"/>
      <c r="RGM2" s="525"/>
      <c r="RGN2" s="525"/>
      <c r="RGO2" s="525"/>
      <c r="RGP2" s="525"/>
      <c r="RGQ2" s="525"/>
      <c r="RGR2" s="525"/>
      <c r="RGS2" s="525"/>
      <c r="RGT2" s="525"/>
      <c r="RGU2" s="525"/>
      <c r="RGV2" s="525"/>
      <c r="RGW2" s="525"/>
      <c r="RGX2" s="525"/>
      <c r="RGY2" s="525"/>
      <c r="RGZ2" s="525"/>
      <c r="RHA2" s="525"/>
      <c r="RHB2" s="525"/>
      <c r="RHC2" s="525"/>
      <c r="RHD2" s="525"/>
      <c r="RHE2" s="525"/>
      <c r="RHF2" s="525"/>
      <c r="RHG2" s="525"/>
      <c r="RHH2" s="525"/>
      <c r="RHI2" s="525"/>
      <c r="RHJ2" s="525"/>
      <c r="RHK2" s="525"/>
      <c r="RHL2" s="525"/>
      <c r="RHM2" s="525"/>
      <c r="RHN2" s="525"/>
      <c r="RHO2" s="525"/>
      <c r="RHP2" s="525"/>
      <c r="RHQ2" s="525"/>
      <c r="RHR2" s="525"/>
      <c r="RHS2" s="525"/>
      <c r="RHT2" s="525"/>
      <c r="RHU2" s="525"/>
      <c r="RHV2" s="525"/>
      <c r="RHW2" s="525"/>
      <c r="RHX2" s="525"/>
      <c r="RHY2" s="525"/>
      <c r="RHZ2" s="525"/>
      <c r="RIA2" s="525"/>
      <c r="RIB2" s="525"/>
      <c r="RIC2" s="525"/>
      <c r="RID2" s="525"/>
      <c r="RIE2" s="525"/>
      <c r="RIF2" s="525"/>
      <c r="RIG2" s="525"/>
      <c r="RIH2" s="525"/>
      <c r="RII2" s="525"/>
      <c r="RIJ2" s="525"/>
      <c r="RIK2" s="525"/>
      <c r="RIL2" s="525"/>
      <c r="RIM2" s="525"/>
      <c r="RIN2" s="525"/>
      <c r="RIO2" s="525"/>
      <c r="RIP2" s="525"/>
      <c r="RIQ2" s="525"/>
      <c r="RIR2" s="525"/>
      <c r="RIS2" s="525"/>
      <c r="RIT2" s="525"/>
      <c r="RIU2" s="525"/>
      <c r="RIV2" s="525"/>
      <c r="RIW2" s="525"/>
      <c r="RIX2" s="525"/>
      <c r="RIY2" s="525"/>
      <c r="RIZ2" s="525"/>
      <c r="RJA2" s="525"/>
      <c r="RJB2" s="525"/>
      <c r="RJC2" s="525"/>
      <c r="RJD2" s="525"/>
      <c r="RJE2" s="525"/>
      <c r="RJF2" s="525"/>
      <c r="RJG2" s="525"/>
      <c r="RJH2" s="525"/>
      <c r="RJI2" s="525"/>
      <c r="RJJ2" s="525"/>
      <c r="RJK2" s="525"/>
      <c r="RJL2" s="525"/>
      <c r="RJM2" s="525"/>
      <c r="RJN2" s="525"/>
      <c r="RJO2" s="525"/>
      <c r="RJP2" s="525"/>
      <c r="RJQ2" s="525"/>
      <c r="RJR2" s="525"/>
      <c r="RJS2" s="525"/>
      <c r="RJT2" s="525"/>
      <c r="RJU2" s="525"/>
      <c r="RJV2" s="525"/>
      <c r="RJW2" s="525"/>
      <c r="RJX2" s="525"/>
      <c r="RJY2" s="525"/>
      <c r="RJZ2" s="525"/>
      <c r="RKA2" s="525"/>
      <c r="RKB2" s="525"/>
      <c r="RKC2" s="525"/>
      <c r="RKD2" s="525"/>
      <c r="RKE2" s="525"/>
      <c r="RKF2" s="525"/>
      <c r="RKG2" s="525"/>
      <c r="RKH2" s="525"/>
      <c r="RKI2" s="525"/>
      <c r="RKJ2" s="525"/>
      <c r="RKK2" s="525"/>
      <c r="RKL2" s="525"/>
      <c r="RKM2" s="525"/>
      <c r="RKN2" s="525"/>
      <c r="RKO2" s="525"/>
      <c r="RKP2" s="525"/>
      <c r="RKQ2" s="525"/>
      <c r="RKR2" s="525"/>
      <c r="RKS2" s="525"/>
      <c r="RKT2" s="525"/>
      <c r="RKU2" s="525"/>
      <c r="RKV2" s="525"/>
      <c r="RKW2" s="525"/>
      <c r="RKX2" s="525"/>
      <c r="RKY2" s="525"/>
      <c r="RKZ2" s="525"/>
      <c r="RLA2" s="525"/>
      <c r="RLB2" s="525"/>
      <c r="RLC2" s="525"/>
      <c r="RLD2" s="525"/>
      <c r="RLE2" s="525"/>
      <c r="RLF2" s="525"/>
      <c r="RLG2" s="525"/>
      <c r="RLH2" s="525"/>
      <c r="RLI2" s="525"/>
      <c r="RLJ2" s="525"/>
      <c r="RLK2" s="525"/>
      <c r="RLL2" s="525"/>
      <c r="RLM2" s="525"/>
      <c r="RLN2" s="525"/>
      <c r="RLO2" s="525"/>
      <c r="RLP2" s="525"/>
      <c r="RLQ2" s="525"/>
      <c r="RLR2" s="525"/>
      <c r="RLS2" s="525"/>
      <c r="RLT2" s="525"/>
      <c r="RLU2" s="525"/>
      <c r="RLV2" s="525"/>
      <c r="RLW2" s="525"/>
      <c r="RLX2" s="525"/>
      <c r="RLY2" s="525"/>
      <c r="RLZ2" s="525"/>
      <c r="RMA2" s="525"/>
      <c r="RMB2" s="525"/>
      <c r="RMC2" s="525"/>
      <c r="RMD2" s="525"/>
      <c r="RME2" s="525"/>
      <c r="RMF2" s="525"/>
      <c r="RMG2" s="525"/>
      <c r="RMH2" s="525"/>
      <c r="RMI2" s="525"/>
      <c r="RMJ2" s="525"/>
      <c r="RMK2" s="525"/>
      <c r="RML2" s="525"/>
      <c r="RMM2" s="525"/>
      <c r="RMN2" s="525"/>
      <c r="RMO2" s="525"/>
      <c r="RMP2" s="525"/>
      <c r="RMQ2" s="525"/>
      <c r="RMR2" s="525"/>
      <c r="RMS2" s="525"/>
      <c r="RMT2" s="525"/>
      <c r="RMU2" s="525"/>
      <c r="RMV2" s="525"/>
      <c r="RMW2" s="525"/>
      <c r="RMX2" s="525"/>
      <c r="RMY2" s="525"/>
      <c r="RMZ2" s="525"/>
      <c r="RNA2" s="525"/>
      <c r="RNB2" s="525"/>
      <c r="RNC2" s="525"/>
      <c r="RND2" s="525"/>
      <c r="RNE2" s="525"/>
      <c r="RNF2" s="525"/>
      <c r="RNG2" s="525"/>
      <c r="RNH2" s="525"/>
      <c r="RNI2" s="525"/>
      <c r="RNJ2" s="525"/>
      <c r="RNK2" s="525"/>
      <c r="RNL2" s="525"/>
      <c r="RNM2" s="525"/>
      <c r="RNN2" s="525"/>
      <c r="RNO2" s="525"/>
      <c r="RNP2" s="525"/>
      <c r="RNQ2" s="525"/>
      <c r="RNR2" s="525"/>
      <c r="RNS2" s="525"/>
      <c r="RNT2" s="525"/>
      <c r="RNU2" s="525"/>
      <c r="RNV2" s="525"/>
      <c r="RNW2" s="525"/>
      <c r="RNX2" s="525"/>
      <c r="RNY2" s="525"/>
      <c r="RNZ2" s="525"/>
      <c r="ROA2" s="525"/>
      <c r="ROB2" s="525"/>
      <c r="ROC2" s="525"/>
      <c r="ROD2" s="525"/>
      <c r="ROE2" s="525"/>
      <c r="ROF2" s="525"/>
      <c r="ROG2" s="525"/>
      <c r="ROH2" s="525"/>
      <c r="ROI2" s="525"/>
      <c r="ROJ2" s="525"/>
      <c r="ROK2" s="525"/>
      <c r="ROL2" s="525"/>
      <c r="ROM2" s="525"/>
      <c r="RON2" s="525"/>
      <c r="ROO2" s="525"/>
      <c r="ROP2" s="525"/>
      <c r="ROQ2" s="525"/>
      <c r="ROR2" s="525"/>
      <c r="ROS2" s="525"/>
      <c r="ROT2" s="525"/>
      <c r="ROU2" s="525"/>
      <c r="ROV2" s="525"/>
      <c r="ROW2" s="525"/>
      <c r="ROX2" s="525"/>
      <c r="ROY2" s="525"/>
      <c r="ROZ2" s="525"/>
      <c r="RPA2" s="525"/>
      <c r="RPB2" s="525"/>
      <c r="RPC2" s="525"/>
      <c r="RPD2" s="525"/>
      <c r="RPE2" s="525"/>
      <c r="RPF2" s="525"/>
      <c r="RPG2" s="525"/>
      <c r="RPH2" s="525"/>
      <c r="RPI2" s="525"/>
      <c r="RPJ2" s="525"/>
      <c r="RPK2" s="525"/>
      <c r="RPL2" s="525"/>
      <c r="RPM2" s="525"/>
      <c r="RPN2" s="525"/>
      <c r="RPO2" s="525"/>
      <c r="RPP2" s="525"/>
      <c r="RPQ2" s="525"/>
      <c r="RPR2" s="525"/>
      <c r="RPS2" s="525"/>
      <c r="RPT2" s="525"/>
      <c r="RPU2" s="525"/>
      <c r="RPV2" s="525"/>
      <c r="RPW2" s="525"/>
      <c r="RPX2" s="525"/>
      <c r="RPY2" s="525"/>
      <c r="RPZ2" s="525"/>
      <c r="RQA2" s="525"/>
      <c r="RQB2" s="525"/>
      <c r="RQC2" s="525"/>
      <c r="RQD2" s="525"/>
      <c r="RQE2" s="525"/>
      <c r="RQF2" s="525"/>
      <c r="RQG2" s="525"/>
      <c r="RQH2" s="525"/>
      <c r="RQI2" s="525"/>
      <c r="RQJ2" s="525"/>
      <c r="RQK2" s="525"/>
      <c r="RQL2" s="525"/>
      <c r="RQM2" s="525"/>
      <c r="RQN2" s="525"/>
      <c r="RQO2" s="525"/>
      <c r="RQP2" s="525"/>
      <c r="RQQ2" s="525"/>
      <c r="RQR2" s="525"/>
      <c r="RQS2" s="525"/>
      <c r="RQT2" s="525"/>
      <c r="RQU2" s="525"/>
      <c r="RQV2" s="525"/>
      <c r="RQW2" s="525"/>
      <c r="RQX2" s="525"/>
      <c r="RQY2" s="525"/>
      <c r="RQZ2" s="525"/>
      <c r="RRA2" s="525"/>
      <c r="RRB2" s="525"/>
      <c r="RRC2" s="525"/>
      <c r="RRD2" s="525"/>
      <c r="RRE2" s="525"/>
      <c r="RRF2" s="525"/>
      <c r="RRG2" s="525"/>
      <c r="RRH2" s="525"/>
      <c r="RRI2" s="525"/>
      <c r="RRJ2" s="525"/>
      <c r="RRK2" s="525"/>
      <c r="RRL2" s="525"/>
      <c r="RRM2" s="525"/>
      <c r="RRN2" s="525"/>
      <c r="RRO2" s="525"/>
      <c r="RRP2" s="525"/>
      <c r="RRQ2" s="525"/>
      <c r="RRR2" s="525"/>
      <c r="RRS2" s="525"/>
      <c r="RRT2" s="525"/>
      <c r="RRU2" s="525"/>
      <c r="RRV2" s="525"/>
      <c r="RRW2" s="525"/>
      <c r="RRX2" s="525"/>
      <c r="RRY2" s="525"/>
      <c r="RRZ2" s="525"/>
      <c r="RSA2" s="525"/>
      <c r="RSB2" s="525"/>
      <c r="RSC2" s="525"/>
      <c r="RSD2" s="525"/>
      <c r="RSE2" s="525"/>
      <c r="RSF2" s="525"/>
      <c r="RSG2" s="525"/>
      <c r="RSH2" s="525"/>
      <c r="RSI2" s="525"/>
      <c r="RSJ2" s="525"/>
      <c r="RSK2" s="525"/>
      <c r="RSL2" s="525"/>
      <c r="RSM2" s="525"/>
      <c r="RSN2" s="525"/>
      <c r="RSO2" s="525"/>
      <c r="RSP2" s="525"/>
      <c r="RSQ2" s="525"/>
      <c r="RSR2" s="525"/>
      <c r="RSS2" s="525"/>
      <c r="RST2" s="525"/>
      <c r="RSU2" s="525"/>
      <c r="RSV2" s="525"/>
      <c r="RSW2" s="525"/>
      <c r="RSX2" s="525"/>
      <c r="RSY2" s="525"/>
      <c r="RSZ2" s="525"/>
      <c r="RTA2" s="525"/>
      <c r="RTB2" s="525"/>
      <c r="RTC2" s="525"/>
      <c r="RTD2" s="525"/>
      <c r="RTE2" s="525"/>
      <c r="RTF2" s="525"/>
      <c r="RTG2" s="525"/>
      <c r="RTH2" s="525"/>
      <c r="RTI2" s="525"/>
      <c r="RTJ2" s="525"/>
      <c r="RTK2" s="525"/>
      <c r="RTL2" s="525"/>
      <c r="RTM2" s="525"/>
      <c r="RTN2" s="525"/>
      <c r="RTO2" s="525"/>
      <c r="RTP2" s="525"/>
      <c r="RTQ2" s="525"/>
      <c r="RTR2" s="525"/>
      <c r="RTS2" s="525"/>
      <c r="RTT2" s="525"/>
      <c r="RTU2" s="525"/>
      <c r="RTV2" s="525"/>
      <c r="RTW2" s="525"/>
      <c r="RTX2" s="525"/>
      <c r="RTY2" s="525"/>
      <c r="RTZ2" s="525"/>
      <c r="RUA2" s="525"/>
      <c r="RUB2" s="525"/>
      <c r="RUC2" s="525"/>
      <c r="RUD2" s="525"/>
      <c r="RUE2" s="525"/>
      <c r="RUF2" s="525"/>
      <c r="RUG2" s="525"/>
      <c r="RUH2" s="525"/>
      <c r="RUI2" s="525"/>
      <c r="RUJ2" s="525"/>
      <c r="RUK2" s="525"/>
      <c r="RUL2" s="525"/>
      <c r="RUM2" s="525"/>
      <c r="RUN2" s="525"/>
      <c r="RUO2" s="525"/>
      <c r="RUP2" s="525"/>
      <c r="RUQ2" s="525"/>
      <c r="RUR2" s="525"/>
      <c r="RUS2" s="525"/>
      <c r="RUT2" s="525"/>
      <c r="RUU2" s="525"/>
      <c r="RUV2" s="525"/>
      <c r="RUW2" s="525"/>
      <c r="RUX2" s="525"/>
      <c r="RUY2" s="525"/>
      <c r="RUZ2" s="525"/>
      <c r="RVA2" s="525"/>
      <c r="RVB2" s="525"/>
      <c r="RVC2" s="525"/>
      <c r="RVD2" s="525"/>
      <c r="RVE2" s="525"/>
      <c r="RVF2" s="525"/>
      <c r="RVG2" s="525"/>
      <c r="RVH2" s="525"/>
      <c r="RVI2" s="525"/>
      <c r="RVJ2" s="525"/>
      <c r="RVK2" s="525"/>
      <c r="RVL2" s="525"/>
      <c r="RVM2" s="525"/>
      <c r="RVN2" s="525"/>
      <c r="RVO2" s="525"/>
      <c r="RVP2" s="525"/>
      <c r="RVQ2" s="525"/>
      <c r="RVR2" s="525"/>
      <c r="RVS2" s="525"/>
      <c r="RVT2" s="525"/>
      <c r="RVU2" s="525"/>
      <c r="RVV2" s="525"/>
      <c r="RVW2" s="525"/>
      <c r="RVX2" s="525"/>
      <c r="RVY2" s="525"/>
      <c r="RVZ2" s="525"/>
      <c r="RWA2" s="525"/>
      <c r="RWB2" s="525"/>
      <c r="RWC2" s="525"/>
      <c r="RWD2" s="525"/>
      <c r="RWE2" s="525"/>
      <c r="RWF2" s="525"/>
      <c r="RWG2" s="525"/>
      <c r="RWH2" s="525"/>
      <c r="RWI2" s="525"/>
      <c r="RWJ2" s="525"/>
      <c r="RWK2" s="525"/>
      <c r="RWL2" s="525"/>
      <c r="RWM2" s="525"/>
      <c r="RWN2" s="525"/>
      <c r="RWO2" s="525"/>
      <c r="RWP2" s="525"/>
      <c r="RWQ2" s="525"/>
      <c r="RWR2" s="525"/>
      <c r="RWS2" s="525"/>
      <c r="RWT2" s="525"/>
      <c r="RWU2" s="525"/>
      <c r="RWV2" s="525"/>
      <c r="RWW2" s="525"/>
      <c r="RWX2" s="525"/>
      <c r="RWY2" s="525"/>
      <c r="RWZ2" s="525"/>
      <c r="RXA2" s="525"/>
      <c r="RXB2" s="525"/>
      <c r="RXC2" s="525"/>
      <c r="RXD2" s="525"/>
      <c r="RXE2" s="525"/>
      <c r="RXF2" s="525"/>
      <c r="RXG2" s="525"/>
      <c r="RXH2" s="525"/>
      <c r="RXI2" s="525"/>
      <c r="RXJ2" s="525"/>
      <c r="RXK2" s="525"/>
      <c r="RXL2" s="525"/>
      <c r="RXM2" s="525"/>
      <c r="RXN2" s="525"/>
      <c r="RXO2" s="525"/>
      <c r="RXP2" s="525"/>
      <c r="RXQ2" s="525"/>
      <c r="RXR2" s="525"/>
      <c r="RXS2" s="525"/>
      <c r="RXT2" s="525"/>
      <c r="RXU2" s="525"/>
      <c r="RXV2" s="525"/>
      <c r="RXW2" s="525"/>
      <c r="RXX2" s="525"/>
      <c r="RXY2" s="525"/>
      <c r="RXZ2" s="525"/>
      <c r="RYA2" s="525"/>
      <c r="RYB2" s="525"/>
      <c r="RYC2" s="525"/>
      <c r="RYD2" s="525"/>
      <c r="RYE2" s="525"/>
      <c r="RYF2" s="525"/>
      <c r="RYG2" s="525"/>
      <c r="RYH2" s="525"/>
      <c r="RYI2" s="525"/>
      <c r="RYJ2" s="525"/>
      <c r="RYK2" s="525"/>
      <c r="RYL2" s="525"/>
      <c r="RYM2" s="525"/>
      <c r="RYN2" s="525"/>
      <c r="RYO2" s="525"/>
      <c r="RYP2" s="525"/>
      <c r="RYQ2" s="525"/>
      <c r="RYR2" s="525"/>
      <c r="RYS2" s="525"/>
      <c r="RYT2" s="525"/>
      <c r="RYU2" s="525"/>
      <c r="RYV2" s="525"/>
      <c r="RYW2" s="525"/>
      <c r="RYX2" s="525"/>
      <c r="RYY2" s="525"/>
      <c r="RYZ2" s="525"/>
      <c r="RZA2" s="525"/>
      <c r="RZB2" s="525"/>
      <c r="RZC2" s="525"/>
      <c r="RZD2" s="525"/>
      <c r="RZE2" s="525"/>
      <c r="RZF2" s="525"/>
      <c r="RZG2" s="525"/>
      <c r="RZH2" s="525"/>
      <c r="RZI2" s="525"/>
      <c r="RZJ2" s="525"/>
      <c r="RZK2" s="525"/>
      <c r="RZL2" s="525"/>
      <c r="RZM2" s="525"/>
      <c r="RZN2" s="525"/>
      <c r="RZO2" s="525"/>
      <c r="RZP2" s="525"/>
      <c r="RZQ2" s="525"/>
      <c r="RZR2" s="525"/>
      <c r="RZS2" s="525"/>
      <c r="RZT2" s="525"/>
      <c r="RZU2" s="525"/>
      <c r="RZV2" s="525"/>
      <c r="RZW2" s="525"/>
      <c r="RZX2" s="525"/>
      <c r="RZY2" s="525"/>
      <c r="RZZ2" s="525"/>
      <c r="SAA2" s="525"/>
      <c r="SAB2" s="525"/>
      <c r="SAC2" s="525"/>
      <c r="SAD2" s="525"/>
      <c r="SAE2" s="525"/>
      <c r="SAF2" s="525"/>
      <c r="SAG2" s="525"/>
      <c r="SAH2" s="525"/>
      <c r="SAI2" s="525"/>
      <c r="SAJ2" s="525"/>
      <c r="SAK2" s="525"/>
      <c r="SAL2" s="525"/>
      <c r="SAM2" s="525"/>
      <c r="SAN2" s="525"/>
      <c r="SAO2" s="525"/>
      <c r="SAP2" s="525"/>
      <c r="SAQ2" s="525"/>
      <c r="SAR2" s="525"/>
      <c r="SAS2" s="525"/>
      <c r="SAT2" s="525"/>
      <c r="SAU2" s="525"/>
      <c r="SAV2" s="525"/>
      <c r="SAW2" s="525"/>
      <c r="SAX2" s="525"/>
      <c r="SAY2" s="525"/>
      <c r="SAZ2" s="525"/>
      <c r="SBA2" s="525"/>
      <c r="SBB2" s="525"/>
      <c r="SBC2" s="525"/>
      <c r="SBD2" s="525"/>
      <c r="SBE2" s="525"/>
      <c r="SBF2" s="525"/>
      <c r="SBG2" s="525"/>
      <c r="SBH2" s="525"/>
      <c r="SBI2" s="525"/>
      <c r="SBJ2" s="525"/>
      <c r="SBK2" s="525"/>
      <c r="SBL2" s="525"/>
      <c r="SBM2" s="525"/>
      <c r="SBN2" s="525"/>
      <c r="SBO2" s="525"/>
      <c r="SBP2" s="525"/>
      <c r="SBQ2" s="525"/>
      <c r="SBR2" s="525"/>
      <c r="SBS2" s="525"/>
      <c r="SBT2" s="525"/>
      <c r="SBU2" s="525"/>
      <c r="SBV2" s="525"/>
      <c r="SBW2" s="525"/>
      <c r="SBX2" s="525"/>
      <c r="SBY2" s="525"/>
      <c r="SBZ2" s="525"/>
      <c r="SCA2" s="525"/>
      <c r="SCB2" s="525"/>
      <c r="SCC2" s="525"/>
      <c r="SCD2" s="525"/>
      <c r="SCE2" s="525"/>
      <c r="SCF2" s="525"/>
      <c r="SCG2" s="525"/>
      <c r="SCH2" s="525"/>
      <c r="SCI2" s="525"/>
      <c r="SCJ2" s="525"/>
      <c r="SCK2" s="525"/>
      <c r="SCL2" s="525"/>
      <c r="SCM2" s="525"/>
      <c r="SCN2" s="525"/>
      <c r="SCO2" s="525"/>
      <c r="SCP2" s="525"/>
      <c r="SCQ2" s="525"/>
      <c r="SCR2" s="525"/>
      <c r="SCS2" s="525"/>
      <c r="SCT2" s="525"/>
      <c r="SCU2" s="525"/>
      <c r="SCV2" s="525"/>
      <c r="SCW2" s="525"/>
      <c r="SCX2" s="525"/>
      <c r="SCY2" s="525"/>
      <c r="SCZ2" s="525"/>
      <c r="SDA2" s="525"/>
      <c r="SDB2" s="525"/>
      <c r="SDC2" s="525"/>
      <c r="SDD2" s="525"/>
      <c r="SDE2" s="525"/>
      <c r="SDF2" s="525"/>
      <c r="SDG2" s="525"/>
      <c r="SDH2" s="525"/>
      <c r="SDI2" s="525"/>
      <c r="SDJ2" s="525"/>
      <c r="SDK2" s="525"/>
      <c r="SDL2" s="525"/>
      <c r="SDM2" s="525"/>
      <c r="SDN2" s="525"/>
      <c r="SDO2" s="525"/>
      <c r="SDP2" s="525"/>
      <c r="SDQ2" s="525"/>
      <c r="SDR2" s="525"/>
      <c r="SDS2" s="525"/>
      <c r="SDT2" s="525"/>
      <c r="SDU2" s="525"/>
      <c r="SDV2" s="525"/>
      <c r="SDW2" s="525"/>
      <c r="SDX2" s="525"/>
      <c r="SDY2" s="525"/>
      <c r="SDZ2" s="525"/>
      <c r="SEA2" s="525"/>
      <c r="SEB2" s="525"/>
      <c r="SEC2" s="525"/>
      <c r="SED2" s="525"/>
      <c r="SEE2" s="525"/>
      <c r="SEF2" s="525"/>
      <c r="SEG2" s="525"/>
      <c r="SEH2" s="525"/>
      <c r="SEI2" s="525"/>
      <c r="SEJ2" s="525"/>
      <c r="SEK2" s="525"/>
      <c r="SEL2" s="525"/>
      <c r="SEM2" s="525"/>
      <c r="SEN2" s="525"/>
      <c r="SEO2" s="525"/>
      <c r="SEP2" s="525"/>
      <c r="SEQ2" s="525"/>
      <c r="SER2" s="525"/>
      <c r="SES2" s="525"/>
      <c r="SET2" s="525"/>
      <c r="SEU2" s="525"/>
      <c r="SEV2" s="525"/>
      <c r="SEW2" s="525"/>
      <c r="SEX2" s="525"/>
      <c r="SEY2" s="525"/>
      <c r="SEZ2" s="525"/>
      <c r="SFA2" s="525"/>
      <c r="SFB2" s="525"/>
      <c r="SFC2" s="525"/>
      <c r="SFD2" s="525"/>
      <c r="SFE2" s="525"/>
      <c r="SFF2" s="525"/>
      <c r="SFG2" s="525"/>
      <c r="SFH2" s="525"/>
      <c r="SFI2" s="525"/>
      <c r="SFJ2" s="525"/>
      <c r="SFK2" s="525"/>
      <c r="SFL2" s="525"/>
      <c r="SFM2" s="525"/>
      <c r="SFN2" s="525"/>
      <c r="SFO2" s="525"/>
      <c r="SFP2" s="525"/>
      <c r="SFQ2" s="525"/>
      <c r="SFR2" s="525"/>
      <c r="SFS2" s="525"/>
      <c r="SFT2" s="525"/>
      <c r="SFU2" s="525"/>
      <c r="SFV2" s="525"/>
      <c r="SFW2" s="525"/>
      <c r="SFX2" s="525"/>
      <c r="SFY2" s="525"/>
      <c r="SFZ2" s="525"/>
      <c r="SGA2" s="525"/>
      <c r="SGB2" s="525"/>
      <c r="SGC2" s="525"/>
      <c r="SGD2" s="525"/>
      <c r="SGE2" s="525"/>
      <c r="SGF2" s="525"/>
      <c r="SGG2" s="525"/>
      <c r="SGH2" s="525"/>
      <c r="SGI2" s="525"/>
      <c r="SGJ2" s="525"/>
      <c r="SGK2" s="525"/>
      <c r="SGL2" s="525"/>
      <c r="SGM2" s="525"/>
      <c r="SGN2" s="525"/>
      <c r="SGO2" s="525"/>
      <c r="SGP2" s="525"/>
      <c r="SGQ2" s="525"/>
      <c r="SGR2" s="525"/>
      <c r="SGS2" s="525"/>
      <c r="SGT2" s="525"/>
      <c r="SGU2" s="525"/>
      <c r="SGV2" s="525"/>
      <c r="SGW2" s="525"/>
      <c r="SGX2" s="525"/>
      <c r="SGY2" s="525"/>
      <c r="SGZ2" s="525"/>
      <c r="SHA2" s="525"/>
      <c r="SHB2" s="525"/>
      <c r="SHC2" s="525"/>
      <c r="SHD2" s="525"/>
      <c r="SHE2" s="525"/>
      <c r="SHF2" s="525"/>
      <c r="SHG2" s="525"/>
      <c r="SHH2" s="525"/>
      <c r="SHI2" s="525"/>
      <c r="SHJ2" s="525"/>
      <c r="SHK2" s="525"/>
      <c r="SHL2" s="525"/>
      <c r="SHM2" s="525"/>
      <c r="SHN2" s="525"/>
      <c r="SHO2" s="525"/>
      <c r="SHP2" s="525"/>
      <c r="SHQ2" s="525"/>
      <c r="SHR2" s="525"/>
      <c r="SHS2" s="525"/>
      <c r="SHT2" s="525"/>
      <c r="SHU2" s="525"/>
      <c r="SHV2" s="525"/>
      <c r="SHW2" s="525"/>
      <c r="SHX2" s="525"/>
      <c r="SHY2" s="525"/>
      <c r="SHZ2" s="525"/>
      <c r="SIA2" s="525"/>
      <c r="SIB2" s="525"/>
      <c r="SIC2" s="525"/>
      <c r="SID2" s="525"/>
      <c r="SIE2" s="525"/>
      <c r="SIF2" s="525"/>
      <c r="SIG2" s="525"/>
      <c r="SIH2" s="525"/>
      <c r="SII2" s="525"/>
      <c r="SIJ2" s="525"/>
      <c r="SIK2" s="525"/>
      <c r="SIL2" s="525"/>
      <c r="SIM2" s="525"/>
      <c r="SIN2" s="525"/>
      <c r="SIO2" s="525"/>
      <c r="SIP2" s="525"/>
      <c r="SIQ2" s="525"/>
      <c r="SIR2" s="525"/>
      <c r="SIS2" s="525"/>
      <c r="SIT2" s="525"/>
      <c r="SIU2" s="525"/>
      <c r="SIV2" s="525"/>
      <c r="SIW2" s="525"/>
      <c r="SIX2" s="525"/>
      <c r="SIY2" s="525"/>
      <c r="SIZ2" s="525"/>
      <c r="SJA2" s="525"/>
      <c r="SJB2" s="525"/>
      <c r="SJC2" s="525"/>
      <c r="SJD2" s="525"/>
      <c r="SJE2" s="525"/>
      <c r="SJF2" s="525"/>
      <c r="SJG2" s="525"/>
      <c r="SJH2" s="525"/>
      <c r="SJI2" s="525"/>
      <c r="SJJ2" s="525"/>
      <c r="SJK2" s="525"/>
      <c r="SJL2" s="525"/>
      <c r="SJM2" s="525"/>
      <c r="SJN2" s="525"/>
      <c r="SJO2" s="525"/>
      <c r="SJP2" s="525"/>
      <c r="SJQ2" s="525"/>
      <c r="SJR2" s="525"/>
      <c r="SJS2" s="525"/>
      <c r="SJT2" s="525"/>
      <c r="SJU2" s="525"/>
      <c r="SJV2" s="525"/>
      <c r="SJW2" s="525"/>
      <c r="SJX2" s="525"/>
      <c r="SJY2" s="525"/>
      <c r="SJZ2" s="525"/>
      <c r="SKA2" s="525"/>
      <c r="SKB2" s="525"/>
      <c r="SKC2" s="525"/>
      <c r="SKD2" s="525"/>
      <c r="SKE2" s="525"/>
      <c r="SKF2" s="525"/>
      <c r="SKG2" s="525"/>
      <c r="SKH2" s="525"/>
      <c r="SKI2" s="525"/>
      <c r="SKJ2" s="525"/>
      <c r="SKK2" s="525"/>
      <c r="SKL2" s="525"/>
      <c r="SKM2" s="525"/>
      <c r="SKN2" s="525"/>
      <c r="SKO2" s="525"/>
      <c r="SKP2" s="525"/>
      <c r="SKQ2" s="525"/>
      <c r="SKR2" s="525"/>
      <c r="SKS2" s="525"/>
      <c r="SKT2" s="525"/>
      <c r="SKU2" s="525"/>
      <c r="SKV2" s="525"/>
      <c r="SKW2" s="525"/>
      <c r="SKX2" s="525"/>
      <c r="SKY2" s="525"/>
      <c r="SKZ2" s="525"/>
      <c r="SLA2" s="525"/>
      <c r="SLB2" s="525"/>
      <c r="SLC2" s="525"/>
      <c r="SLD2" s="525"/>
      <c r="SLE2" s="525"/>
      <c r="SLF2" s="525"/>
      <c r="SLG2" s="525"/>
      <c r="SLH2" s="525"/>
      <c r="SLI2" s="525"/>
      <c r="SLJ2" s="525"/>
      <c r="SLK2" s="525"/>
      <c r="SLL2" s="525"/>
      <c r="SLM2" s="525"/>
      <c r="SLN2" s="525"/>
      <c r="SLO2" s="525"/>
      <c r="SLP2" s="525"/>
      <c r="SLQ2" s="525"/>
      <c r="SLR2" s="525"/>
      <c r="SLS2" s="525"/>
      <c r="SLT2" s="525"/>
      <c r="SLU2" s="525"/>
      <c r="SLV2" s="525"/>
      <c r="SLW2" s="525"/>
      <c r="SLX2" s="525"/>
      <c r="SLY2" s="525"/>
      <c r="SLZ2" s="525"/>
      <c r="SMA2" s="525"/>
      <c r="SMB2" s="525"/>
      <c r="SMC2" s="525"/>
      <c r="SMD2" s="525"/>
      <c r="SME2" s="525"/>
      <c r="SMF2" s="525"/>
      <c r="SMG2" s="525"/>
      <c r="SMH2" s="525"/>
      <c r="SMI2" s="525"/>
      <c r="SMJ2" s="525"/>
      <c r="SMK2" s="525"/>
      <c r="SML2" s="525"/>
      <c r="SMM2" s="525"/>
      <c r="SMN2" s="525"/>
      <c r="SMO2" s="525"/>
      <c r="SMP2" s="525"/>
      <c r="SMQ2" s="525"/>
      <c r="SMR2" s="525"/>
      <c r="SMS2" s="525"/>
      <c r="SMT2" s="525"/>
      <c r="SMU2" s="525"/>
      <c r="SMV2" s="525"/>
      <c r="SMW2" s="525"/>
      <c r="SMX2" s="525"/>
      <c r="SMY2" s="525"/>
      <c r="SMZ2" s="525"/>
      <c r="SNA2" s="525"/>
      <c r="SNB2" s="525"/>
      <c r="SNC2" s="525"/>
      <c r="SND2" s="525"/>
      <c r="SNE2" s="525"/>
      <c r="SNF2" s="525"/>
      <c r="SNG2" s="525"/>
      <c r="SNH2" s="525"/>
      <c r="SNI2" s="525"/>
      <c r="SNJ2" s="525"/>
      <c r="SNK2" s="525"/>
      <c r="SNL2" s="525"/>
      <c r="SNM2" s="525"/>
      <c r="SNN2" s="525"/>
      <c r="SNO2" s="525"/>
      <c r="SNP2" s="525"/>
      <c r="SNQ2" s="525"/>
      <c r="SNR2" s="525"/>
      <c r="SNS2" s="525"/>
      <c r="SNT2" s="525"/>
      <c r="SNU2" s="525"/>
      <c r="SNV2" s="525"/>
      <c r="SNW2" s="525"/>
      <c r="SNX2" s="525"/>
      <c r="SNY2" s="525"/>
      <c r="SNZ2" s="525"/>
      <c r="SOA2" s="525"/>
      <c r="SOB2" s="525"/>
      <c r="SOC2" s="525"/>
      <c r="SOD2" s="525"/>
      <c r="SOE2" s="525"/>
      <c r="SOF2" s="525"/>
      <c r="SOG2" s="525"/>
      <c r="SOH2" s="525"/>
      <c r="SOI2" s="525"/>
      <c r="SOJ2" s="525"/>
      <c r="SOK2" s="525"/>
      <c r="SOL2" s="525"/>
      <c r="SOM2" s="525"/>
      <c r="SON2" s="525"/>
      <c r="SOO2" s="525"/>
      <c r="SOP2" s="525"/>
      <c r="SOQ2" s="525"/>
      <c r="SOR2" s="525"/>
      <c r="SOS2" s="525"/>
      <c r="SOT2" s="525"/>
      <c r="SOU2" s="525"/>
      <c r="SOV2" s="525"/>
      <c r="SOW2" s="525"/>
      <c r="SOX2" s="525"/>
      <c r="SOY2" s="525"/>
      <c r="SOZ2" s="525"/>
      <c r="SPA2" s="525"/>
      <c r="SPB2" s="525"/>
      <c r="SPC2" s="525"/>
      <c r="SPD2" s="525"/>
      <c r="SPE2" s="525"/>
      <c r="SPF2" s="525"/>
      <c r="SPG2" s="525"/>
      <c r="SPH2" s="525"/>
      <c r="SPI2" s="525"/>
      <c r="SPJ2" s="525"/>
      <c r="SPK2" s="525"/>
      <c r="SPL2" s="525"/>
      <c r="SPM2" s="525"/>
      <c r="SPN2" s="525"/>
      <c r="SPO2" s="525"/>
      <c r="SPP2" s="525"/>
      <c r="SPQ2" s="525"/>
      <c r="SPR2" s="525"/>
      <c r="SPS2" s="525"/>
      <c r="SPT2" s="525"/>
      <c r="SPU2" s="525"/>
      <c r="SPV2" s="525"/>
      <c r="SPW2" s="525"/>
      <c r="SPX2" s="525"/>
      <c r="SPY2" s="525"/>
      <c r="SPZ2" s="525"/>
      <c r="SQA2" s="525"/>
      <c r="SQB2" s="525"/>
      <c r="SQC2" s="525"/>
      <c r="SQD2" s="525"/>
      <c r="SQE2" s="525"/>
      <c r="SQF2" s="525"/>
      <c r="SQG2" s="525"/>
      <c r="SQH2" s="525"/>
      <c r="SQI2" s="525"/>
      <c r="SQJ2" s="525"/>
      <c r="SQK2" s="525"/>
      <c r="SQL2" s="525"/>
      <c r="SQM2" s="525"/>
      <c r="SQN2" s="525"/>
      <c r="SQO2" s="525"/>
      <c r="SQP2" s="525"/>
      <c r="SQQ2" s="525"/>
      <c r="SQR2" s="525"/>
      <c r="SQS2" s="525"/>
      <c r="SQT2" s="525"/>
      <c r="SQU2" s="525"/>
      <c r="SQV2" s="525"/>
      <c r="SQW2" s="525"/>
      <c r="SQX2" s="525"/>
      <c r="SQY2" s="525"/>
      <c r="SQZ2" s="525"/>
      <c r="SRA2" s="525"/>
      <c r="SRB2" s="525"/>
      <c r="SRC2" s="525"/>
      <c r="SRD2" s="525"/>
      <c r="SRE2" s="525"/>
      <c r="SRF2" s="525"/>
      <c r="SRG2" s="525"/>
      <c r="SRH2" s="525"/>
      <c r="SRI2" s="525"/>
      <c r="SRJ2" s="525"/>
      <c r="SRK2" s="525"/>
      <c r="SRL2" s="525"/>
      <c r="SRM2" s="525"/>
      <c r="SRN2" s="525"/>
      <c r="SRO2" s="525"/>
      <c r="SRP2" s="525"/>
      <c r="SRQ2" s="525"/>
      <c r="SRR2" s="525"/>
      <c r="SRS2" s="525"/>
      <c r="SRT2" s="525"/>
      <c r="SRU2" s="525"/>
      <c r="SRV2" s="525"/>
      <c r="SRW2" s="525"/>
      <c r="SRX2" s="525"/>
      <c r="SRY2" s="525"/>
      <c r="SRZ2" s="525"/>
      <c r="SSA2" s="525"/>
      <c r="SSB2" s="525"/>
      <c r="SSC2" s="525"/>
      <c r="SSD2" s="525"/>
      <c r="SSE2" s="525"/>
      <c r="SSF2" s="525"/>
      <c r="SSG2" s="525"/>
      <c r="SSH2" s="525"/>
      <c r="SSI2" s="525"/>
      <c r="SSJ2" s="525"/>
      <c r="SSK2" s="525"/>
      <c r="SSL2" s="525"/>
      <c r="SSM2" s="525"/>
      <c r="SSN2" s="525"/>
      <c r="SSO2" s="525"/>
      <c r="SSP2" s="525"/>
      <c r="SSQ2" s="525"/>
      <c r="SSR2" s="525"/>
      <c r="SSS2" s="525"/>
      <c r="SST2" s="525"/>
      <c r="SSU2" s="525"/>
      <c r="SSV2" s="525"/>
      <c r="SSW2" s="525"/>
      <c r="SSX2" s="525"/>
      <c r="SSY2" s="525"/>
      <c r="SSZ2" s="525"/>
      <c r="STA2" s="525"/>
      <c r="STB2" s="525"/>
      <c r="STC2" s="525"/>
      <c r="STD2" s="525"/>
      <c r="STE2" s="525"/>
      <c r="STF2" s="525"/>
      <c r="STG2" s="525"/>
      <c r="STH2" s="525"/>
      <c r="STI2" s="525"/>
      <c r="STJ2" s="525"/>
      <c r="STK2" s="525"/>
      <c r="STL2" s="525"/>
      <c r="STM2" s="525"/>
      <c r="STN2" s="525"/>
      <c r="STO2" s="525"/>
      <c r="STP2" s="525"/>
      <c r="STQ2" s="525"/>
      <c r="STR2" s="525"/>
      <c r="STS2" s="525"/>
      <c r="STT2" s="525"/>
      <c r="STU2" s="525"/>
      <c r="STV2" s="525"/>
      <c r="STW2" s="525"/>
      <c r="STX2" s="525"/>
      <c r="STY2" s="525"/>
      <c r="STZ2" s="525"/>
      <c r="SUA2" s="525"/>
      <c r="SUB2" s="525"/>
      <c r="SUC2" s="525"/>
      <c r="SUD2" s="525"/>
      <c r="SUE2" s="525"/>
      <c r="SUF2" s="525"/>
      <c r="SUG2" s="525"/>
      <c r="SUH2" s="525"/>
      <c r="SUI2" s="525"/>
      <c r="SUJ2" s="525"/>
      <c r="SUK2" s="525"/>
      <c r="SUL2" s="525"/>
      <c r="SUM2" s="525"/>
      <c r="SUN2" s="525"/>
      <c r="SUO2" s="525"/>
      <c r="SUP2" s="525"/>
      <c r="SUQ2" s="525"/>
      <c r="SUR2" s="525"/>
      <c r="SUS2" s="525"/>
      <c r="SUT2" s="525"/>
      <c r="SUU2" s="525"/>
      <c r="SUV2" s="525"/>
      <c r="SUW2" s="525"/>
      <c r="SUX2" s="525"/>
      <c r="SUY2" s="525"/>
      <c r="SUZ2" s="525"/>
      <c r="SVA2" s="525"/>
      <c r="SVB2" s="525"/>
      <c r="SVC2" s="525"/>
      <c r="SVD2" s="525"/>
      <c r="SVE2" s="525"/>
      <c r="SVF2" s="525"/>
      <c r="SVG2" s="525"/>
      <c r="SVH2" s="525"/>
      <c r="SVI2" s="525"/>
      <c r="SVJ2" s="525"/>
      <c r="SVK2" s="525"/>
      <c r="SVL2" s="525"/>
      <c r="SVM2" s="525"/>
      <c r="SVN2" s="525"/>
      <c r="SVO2" s="525"/>
      <c r="SVP2" s="525"/>
      <c r="SVQ2" s="525"/>
      <c r="SVR2" s="525"/>
      <c r="SVS2" s="525"/>
      <c r="SVT2" s="525"/>
      <c r="SVU2" s="525"/>
      <c r="SVV2" s="525"/>
      <c r="SVW2" s="525"/>
      <c r="SVX2" s="525"/>
      <c r="SVY2" s="525"/>
      <c r="SVZ2" s="525"/>
      <c r="SWA2" s="525"/>
      <c r="SWB2" s="525"/>
      <c r="SWC2" s="525"/>
      <c r="SWD2" s="525"/>
      <c r="SWE2" s="525"/>
      <c r="SWF2" s="525"/>
      <c r="SWG2" s="525"/>
      <c r="SWH2" s="525"/>
      <c r="SWI2" s="525"/>
      <c r="SWJ2" s="525"/>
      <c r="SWK2" s="525"/>
      <c r="SWL2" s="525"/>
      <c r="SWM2" s="525"/>
      <c r="SWN2" s="525"/>
      <c r="SWO2" s="525"/>
      <c r="SWP2" s="525"/>
      <c r="SWQ2" s="525"/>
      <c r="SWR2" s="525"/>
      <c r="SWS2" s="525"/>
      <c r="SWT2" s="525"/>
      <c r="SWU2" s="525"/>
      <c r="SWV2" s="525"/>
      <c r="SWW2" s="525"/>
      <c r="SWX2" s="525"/>
      <c r="SWY2" s="525"/>
      <c r="SWZ2" s="525"/>
      <c r="SXA2" s="525"/>
      <c r="SXB2" s="525"/>
      <c r="SXC2" s="525"/>
      <c r="SXD2" s="525"/>
      <c r="SXE2" s="525"/>
      <c r="SXF2" s="525"/>
      <c r="SXG2" s="525"/>
      <c r="SXH2" s="525"/>
      <c r="SXI2" s="525"/>
      <c r="SXJ2" s="525"/>
      <c r="SXK2" s="525"/>
      <c r="SXL2" s="525"/>
      <c r="SXM2" s="525"/>
      <c r="SXN2" s="525"/>
      <c r="SXO2" s="525"/>
      <c r="SXP2" s="525"/>
      <c r="SXQ2" s="525"/>
      <c r="SXR2" s="525"/>
      <c r="SXS2" s="525"/>
      <c r="SXT2" s="525"/>
      <c r="SXU2" s="525"/>
      <c r="SXV2" s="525"/>
      <c r="SXW2" s="525"/>
      <c r="SXX2" s="525"/>
      <c r="SXY2" s="525"/>
      <c r="SXZ2" s="525"/>
      <c r="SYA2" s="525"/>
      <c r="SYB2" s="525"/>
      <c r="SYC2" s="525"/>
      <c r="SYD2" s="525"/>
      <c r="SYE2" s="525"/>
      <c r="SYF2" s="525"/>
      <c r="SYG2" s="525"/>
      <c r="SYH2" s="525"/>
      <c r="SYI2" s="525"/>
      <c r="SYJ2" s="525"/>
      <c r="SYK2" s="525"/>
      <c r="SYL2" s="525"/>
      <c r="SYM2" s="525"/>
      <c r="SYN2" s="525"/>
      <c r="SYO2" s="525"/>
      <c r="SYP2" s="525"/>
      <c r="SYQ2" s="525"/>
      <c r="SYR2" s="525"/>
      <c r="SYS2" s="525"/>
      <c r="SYT2" s="525"/>
      <c r="SYU2" s="525"/>
      <c r="SYV2" s="525"/>
      <c r="SYW2" s="525"/>
      <c r="SYX2" s="525"/>
      <c r="SYY2" s="525"/>
      <c r="SYZ2" s="525"/>
      <c r="SZA2" s="525"/>
      <c r="SZB2" s="525"/>
      <c r="SZC2" s="525"/>
      <c r="SZD2" s="525"/>
      <c r="SZE2" s="525"/>
      <c r="SZF2" s="525"/>
      <c r="SZG2" s="525"/>
      <c r="SZH2" s="525"/>
      <c r="SZI2" s="525"/>
      <c r="SZJ2" s="525"/>
      <c r="SZK2" s="525"/>
      <c r="SZL2" s="525"/>
      <c r="SZM2" s="525"/>
      <c r="SZN2" s="525"/>
      <c r="SZO2" s="525"/>
      <c r="SZP2" s="525"/>
      <c r="SZQ2" s="525"/>
      <c r="SZR2" s="525"/>
      <c r="SZS2" s="525"/>
      <c r="SZT2" s="525"/>
      <c r="SZU2" s="525"/>
      <c r="SZV2" s="525"/>
      <c r="SZW2" s="525"/>
      <c r="SZX2" s="525"/>
      <c r="SZY2" s="525"/>
      <c r="SZZ2" s="525"/>
      <c r="TAA2" s="525"/>
      <c r="TAB2" s="525"/>
      <c r="TAC2" s="525"/>
      <c r="TAD2" s="525"/>
      <c r="TAE2" s="525"/>
      <c r="TAF2" s="525"/>
      <c r="TAG2" s="525"/>
      <c r="TAH2" s="525"/>
      <c r="TAI2" s="525"/>
      <c r="TAJ2" s="525"/>
      <c r="TAK2" s="525"/>
      <c r="TAL2" s="525"/>
      <c r="TAM2" s="525"/>
      <c r="TAN2" s="525"/>
      <c r="TAO2" s="525"/>
      <c r="TAP2" s="525"/>
      <c r="TAQ2" s="525"/>
      <c r="TAR2" s="525"/>
      <c r="TAS2" s="525"/>
      <c r="TAT2" s="525"/>
      <c r="TAU2" s="525"/>
      <c r="TAV2" s="525"/>
      <c r="TAW2" s="525"/>
      <c r="TAX2" s="525"/>
      <c r="TAY2" s="525"/>
      <c r="TAZ2" s="525"/>
      <c r="TBA2" s="525"/>
      <c r="TBB2" s="525"/>
      <c r="TBC2" s="525"/>
      <c r="TBD2" s="525"/>
      <c r="TBE2" s="525"/>
      <c r="TBF2" s="525"/>
      <c r="TBG2" s="525"/>
      <c r="TBH2" s="525"/>
      <c r="TBI2" s="525"/>
      <c r="TBJ2" s="525"/>
      <c r="TBK2" s="525"/>
      <c r="TBL2" s="525"/>
      <c r="TBM2" s="525"/>
      <c r="TBN2" s="525"/>
      <c r="TBO2" s="525"/>
      <c r="TBP2" s="525"/>
      <c r="TBQ2" s="525"/>
      <c r="TBR2" s="525"/>
      <c r="TBS2" s="525"/>
      <c r="TBT2" s="525"/>
      <c r="TBU2" s="525"/>
      <c r="TBV2" s="525"/>
      <c r="TBW2" s="525"/>
      <c r="TBX2" s="525"/>
      <c r="TBY2" s="525"/>
      <c r="TBZ2" s="525"/>
      <c r="TCA2" s="525"/>
      <c r="TCB2" s="525"/>
      <c r="TCC2" s="525"/>
      <c r="TCD2" s="525"/>
      <c r="TCE2" s="525"/>
      <c r="TCF2" s="525"/>
      <c r="TCG2" s="525"/>
      <c r="TCH2" s="525"/>
      <c r="TCI2" s="525"/>
      <c r="TCJ2" s="525"/>
      <c r="TCK2" s="525"/>
      <c r="TCL2" s="525"/>
      <c r="TCM2" s="525"/>
      <c r="TCN2" s="525"/>
      <c r="TCO2" s="525"/>
      <c r="TCP2" s="525"/>
      <c r="TCQ2" s="525"/>
      <c r="TCR2" s="525"/>
      <c r="TCS2" s="525"/>
      <c r="TCT2" s="525"/>
      <c r="TCU2" s="525"/>
      <c r="TCV2" s="525"/>
      <c r="TCW2" s="525"/>
      <c r="TCX2" s="525"/>
      <c r="TCY2" s="525"/>
      <c r="TCZ2" s="525"/>
      <c r="TDA2" s="525"/>
      <c r="TDB2" s="525"/>
      <c r="TDC2" s="525"/>
      <c r="TDD2" s="525"/>
      <c r="TDE2" s="525"/>
      <c r="TDF2" s="525"/>
      <c r="TDG2" s="525"/>
      <c r="TDH2" s="525"/>
      <c r="TDI2" s="525"/>
      <c r="TDJ2" s="525"/>
      <c r="TDK2" s="525"/>
      <c r="TDL2" s="525"/>
      <c r="TDM2" s="525"/>
      <c r="TDN2" s="525"/>
      <c r="TDO2" s="525"/>
      <c r="TDP2" s="525"/>
      <c r="TDQ2" s="525"/>
      <c r="TDR2" s="525"/>
      <c r="TDS2" s="525"/>
      <c r="TDT2" s="525"/>
      <c r="TDU2" s="525"/>
      <c r="TDV2" s="525"/>
      <c r="TDW2" s="525"/>
      <c r="TDX2" s="525"/>
      <c r="TDY2" s="525"/>
      <c r="TDZ2" s="525"/>
      <c r="TEA2" s="525"/>
      <c r="TEB2" s="525"/>
      <c r="TEC2" s="525"/>
      <c r="TED2" s="525"/>
      <c r="TEE2" s="525"/>
      <c r="TEF2" s="525"/>
      <c r="TEG2" s="525"/>
      <c r="TEH2" s="525"/>
      <c r="TEI2" s="525"/>
      <c r="TEJ2" s="525"/>
      <c r="TEK2" s="525"/>
      <c r="TEL2" s="525"/>
      <c r="TEM2" s="525"/>
      <c r="TEN2" s="525"/>
      <c r="TEO2" s="525"/>
      <c r="TEP2" s="525"/>
      <c r="TEQ2" s="525"/>
      <c r="TER2" s="525"/>
      <c r="TES2" s="525"/>
      <c r="TET2" s="525"/>
      <c r="TEU2" s="525"/>
      <c r="TEV2" s="525"/>
      <c r="TEW2" s="525"/>
      <c r="TEX2" s="525"/>
      <c r="TEY2" s="525"/>
      <c r="TEZ2" s="525"/>
      <c r="TFA2" s="525"/>
      <c r="TFB2" s="525"/>
      <c r="TFC2" s="525"/>
      <c r="TFD2" s="525"/>
      <c r="TFE2" s="525"/>
      <c r="TFF2" s="525"/>
      <c r="TFG2" s="525"/>
      <c r="TFH2" s="525"/>
      <c r="TFI2" s="525"/>
      <c r="TFJ2" s="525"/>
      <c r="TFK2" s="525"/>
      <c r="TFL2" s="525"/>
      <c r="TFM2" s="525"/>
      <c r="TFN2" s="525"/>
      <c r="TFO2" s="525"/>
      <c r="TFP2" s="525"/>
      <c r="TFQ2" s="525"/>
      <c r="TFR2" s="525"/>
      <c r="TFS2" s="525"/>
      <c r="TFT2" s="525"/>
      <c r="TFU2" s="525"/>
      <c r="TFV2" s="525"/>
      <c r="TFW2" s="525"/>
      <c r="TFX2" s="525"/>
      <c r="TFY2" s="525"/>
      <c r="TFZ2" s="525"/>
      <c r="TGA2" s="525"/>
      <c r="TGB2" s="525"/>
      <c r="TGC2" s="525"/>
      <c r="TGD2" s="525"/>
      <c r="TGE2" s="525"/>
      <c r="TGF2" s="525"/>
      <c r="TGG2" s="525"/>
      <c r="TGH2" s="525"/>
      <c r="TGI2" s="525"/>
      <c r="TGJ2" s="525"/>
      <c r="TGK2" s="525"/>
      <c r="TGL2" s="525"/>
      <c r="TGM2" s="525"/>
      <c r="TGN2" s="525"/>
      <c r="TGO2" s="525"/>
      <c r="TGP2" s="525"/>
      <c r="TGQ2" s="525"/>
      <c r="TGR2" s="525"/>
      <c r="TGS2" s="525"/>
      <c r="TGT2" s="525"/>
      <c r="TGU2" s="525"/>
      <c r="TGV2" s="525"/>
      <c r="TGW2" s="525"/>
      <c r="TGX2" s="525"/>
      <c r="TGY2" s="525"/>
      <c r="TGZ2" s="525"/>
      <c r="THA2" s="525"/>
      <c r="THB2" s="525"/>
      <c r="THC2" s="525"/>
      <c r="THD2" s="525"/>
      <c r="THE2" s="525"/>
      <c r="THF2" s="525"/>
      <c r="THG2" s="525"/>
      <c r="THH2" s="525"/>
      <c r="THI2" s="525"/>
      <c r="THJ2" s="525"/>
      <c r="THK2" s="525"/>
      <c r="THL2" s="525"/>
      <c r="THM2" s="525"/>
      <c r="THN2" s="525"/>
      <c r="THO2" s="525"/>
      <c r="THP2" s="525"/>
      <c r="THQ2" s="525"/>
      <c r="THR2" s="525"/>
      <c r="THS2" s="525"/>
      <c r="THT2" s="525"/>
      <c r="THU2" s="525"/>
      <c r="THV2" s="525"/>
      <c r="THW2" s="525"/>
      <c r="THX2" s="525"/>
      <c r="THY2" s="525"/>
      <c r="THZ2" s="525"/>
      <c r="TIA2" s="525"/>
      <c r="TIB2" s="525"/>
      <c r="TIC2" s="525"/>
      <c r="TID2" s="525"/>
      <c r="TIE2" s="525"/>
      <c r="TIF2" s="525"/>
      <c r="TIG2" s="525"/>
      <c r="TIH2" s="525"/>
      <c r="TII2" s="525"/>
      <c r="TIJ2" s="525"/>
      <c r="TIK2" s="525"/>
      <c r="TIL2" s="525"/>
      <c r="TIM2" s="525"/>
      <c r="TIN2" s="525"/>
      <c r="TIO2" s="525"/>
      <c r="TIP2" s="525"/>
      <c r="TIQ2" s="525"/>
      <c r="TIR2" s="525"/>
      <c r="TIS2" s="525"/>
      <c r="TIT2" s="525"/>
      <c r="TIU2" s="525"/>
      <c r="TIV2" s="525"/>
      <c r="TIW2" s="525"/>
      <c r="TIX2" s="525"/>
      <c r="TIY2" s="525"/>
      <c r="TIZ2" s="525"/>
      <c r="TJA2" s="525"/>
      <c r="TJB2" s="525"/>
      <c r="TJC2" s="525"/>
      <c r="TJD2" s="525"/>
      <c r="TJE2" s="525"/>
      <c r="TJF2" s="525"/>
      <c r="TJG2" s="525"/>
      <c r="TJH2" s="525"/>
      <c r="TJI2" s="525"/>
      <c r="TJJ2" s="525"/>
      <c r="TJK2" s="525"/>
      <c r="TJL2" s="525"/>
      <c r="TJM2" s="525"/>
      <c r="TJN2" s="525"/>
      <c r="TJO2" s="525"/>
      <c r="TJP2" s="525"/>
      <c r="TJQ2" s="525"/>
      <c r="TJR2" s="525"/>
      <c r="TJS2" s="525"/>
      <c r="TJT2" s="525"/>
      <c r="TJU2" s="525"/>
      <c r="TJV2" s="525"/>
      <c r="TJW2" s="525"/>
      <c r="TJX2" s="525"/>
      <c r="TJY2" s="525"/>
      <c r="TJZ2" s="525"/>
      <c r="TKA2" s="525"/>
      <c r="TKB2" s="525"/>
      <c r="TKC2" s="525"/>
      <c r="TKD2" s="525"/>
      <c r="TKE2" s="525"/>
      <c r="TKF2" s="525"/>
      <c r="TKG2" s="525"/>
      <c r="TKH2" s="525"/>
      <c r="TKI2" s="525"/>
      <c r="TKJ2" s="525"/>
      <c r="TKK2" s="525"/>
      <c r="TKL2" s="525"/>
      <c r="TKM2" s="525"/>
      <c r="TKN2" s="525"/>
      <c r="TKO2" s="525"/>
      <c r="TKP2" s="525"/>
      <c r="TKQ2" s="525"/>
      <c r="TKR2" s="525"/>
      <c r="TKS2" s="525"/>
      <c r="TKT2" s="525"/>
      <c r="TKU2" s="525"/>
      <c r="TKV2" s="525"/>
      <c r="TKW2" s="525"/>
      <c r="TKX2" s="525"/>
      <c r="TKY2" s="525"/>
      <c r="TKZ2" s="525"/>
      <c r="TLA2" s="525"/>
      <c r="TLB2" s="525"/>
      <c r="TLC2" s="525"/>
      <c r="TLD2" s="525"/>
      <c r="TLE2" s="525"/>
      <c r="TLF2" s="525"/>
      <c r="TLG2" s="525"/>
      <c r="TLH2" s="525"/>
      <c r="TLI2" s="525"/>
      <c r="TLJ2" s="525"/>
      <c r="TLK2" s="525"/>
      <c r="TLL2" s="525"/>
      <c r="TLM2" s="525"/>
      <c r="TLN2" s="525"/>
      <c r="TLO2" s="525"/>
      <c r="TLP2" s="525"/>
      <c r="TLQ2" s="525"/>
      <c r="TLR2" s="525"/>
      <c r="TLS2" s="525"/>
      <c r="TLT2" s="525"/>
      <c r="TLU2" s="525"/>
      <c r="TLV2" s="525"/>
      <c r="TLW2" s="525"/>
      <c r="TLX2" s="525"/>
      <c r="TLY2" s="525"/>
      <c r="TLZ2" s="525"/>
      <c r="TMA2" s="525"/>
      <c r="TMB2" s="525"/>
      <c r="TMC2" s="525"/>
      <c r="TMD2" s="525"/>
      <c r="TME2" s="525"/>
      <c r="TMF2" s="525"/>
      <c r="TMG2" s="525"/>
      <c r="TMH2" s="525"/>
      <c r="TMI2" s="525"/>
      <c r="TMJ2" s="525"/>
      <c r="TMK2" s="525"/>
      <c r="TML2" s="525"/>
      <c r="TMM2" s="525"/>
      <c r="TMN2" s="525"/>
      <c r="TMO2" s="525"/>
      <c r="TMP2" s="525"/>
      <c r="TMQ2" s="525"/>
      <c r="TMR2" s="525"/>
      <c r="TMS2" s="525"/>
      <c r="TMT2" s="525"/>
      <c r="TMU2" s="525"/>
      <c r="TMV2" s="525"/>
      <c r="TMW2" s="525"/>
      <c r="TMX2" s="525"/>
      <c r="TMY2" s="525"/>
      <c r="TMZ2" s="525"/>
      <c r="TNA2" s="525"/>
      <c r="TNB2" s="525"/>
      <c r="TNC2" s="525"/>
      <c r="TND2" s="525"/>
      <c r="TNE2" s="525"/>
      <c r="TNF2" s="525"/>
      <c r="TNG2" s="525"/>
      <c r="TNH2" s="525"/>
      <c r="TNI2" s="525"/>
      <c r="TNJ2" s="525"/>
      <c r="TNK2" s="525"/>
      <c r="TNL2" s="525"/>
      <c r="TNM2" s="525"/>
      <c r="TNN2" s="525"/>
      <c r="TNO2" s="525"/>
      <c r="TNP2" s="525"/>
      <c r="TNQ2" s="525"/>
      <c r="TNR2" s="525"/>
      <c r="TNS2" s="525"/>
      <c r="TNT2" s="525"/>
      <c r="TNU2" s="525"/>
      <c r="TNV2" s="525"/>
      <c r="TNW2" s="525"/>
      <c r="TNX2" s="525"/>
      <c r="TNY2" s="525"/>
      <c r="TNZ2" s="525"/>
      <c r="TOA2" s="525"/>
      <c r="TOB2" s="525"/>
      <c r="TOC2" s="525"/>
      <c r="TOD2" s="525"/>
      <c r="TOE2" s="525"/>
      <c r="TOF2" s="525"/>
      <c r="TOG2" s="525"/>
      <c r="TOH2" s="525"/>
      <c r="TOI2" s="525"/>
      <c r="TOJ2" s="525"/>
      <c r="TOK2" s="525"/>
      <c r="TOL2" s="525"/>
      <c r="TOM2" s="525"/>
      <c r="TON2" s="525"/>
      <c r="TOO2" s="525"/>
      <c r="TOP2" s="525"/>
      <c r="TOQ2" s="525"/>
      <c r="TOR2" s="525"/>
      <c r="TOS2" s="525"/>
      <c r="TOT2" s="525"/>
      <c r="TOU2" s="525"/>
      <c r="TOV2" s="525"/>
      <c r="TOW2" s="525"/>
      <c r="TOX2" s="525"/>
      <c r="TOY2" s="525"/>
      <c r="TOZ2" s="525"/>
      <c r="TPA2" s="525"/>
      <c r="TPB2" s="525"/>
      <c r="TPC2" s="525"/>
      <c r="TPD2" s="525"/>
      <c r="TPE2" s="525"/>
      <c r="TPF2" s="525"/>
      <c r="TPG2" s="525"/>
      <c r="TPH2" s="525"/>
      <c r="TPI2" s="525"/>
      <c r="TPJ2" s="525"/>
      <c r="TPK2" s="525"/>
      <c r="TPL2" s="525"/>
      <c r="TPM2" s="525"/>
      <c r="TPN2" s="525"/>
      <c r="TPO2" s="525"/>
      <c r="TPP2" s="525"/>
      <c r="TPQ2" s="525"/>
      <c r="TPR2" s="525"/>
      <c r="TPS2" s="525"/>
      <c r="TPT2" s="525"/>
      <c r="TPU2" s="525"/>
      <c r="TPV2" s="525"/>
      <c r="TPW2" s="525"/>
      <c r="TPX2" s="525"/>
      <c r="TPY2" s="525"/>
      <c r="TPZ2" s="525"/>
      <c r="TQA2" s="525"/>
      <c r="TQB2" s="525"/>
      <c r="TQC2" s="525"/>
      <c r="TQD2" s="525"/>
      <c r="TQE2" s="525"/>
      <c r="TQF2" s="525"/>
      <c r="TQG2" s="525"/>
      <c r="TQH2" s="525"/>
      <c r="TQI2" s="525"/>
      <c r="TQJ2" s="525"/>
      <c r="TQK2" s="525"/>
      <c r="TQL2" s="525"/>
      <c r="TQM2" s="525"/>
      <c r="TQN2" s="525"/>
      <c r="TQO2" s="525"/>
      <c r="TQP2" s="525"/>
      <c r="TQQ2" s="525"/>
      <c r="TQR2" s="525"/>
      <c r="TQS2" s="525"/>
      <c r="TQT2" s="525"/>
      <c r="TQU2" s="525"/>
      <c r="TQV2" s="525"/>
      <c r="TQW2" s="525"/>
      <c r="TQX2" s="525"/>
      <c r="TQY2" s="525"/>
      <c r="TQZ2" s="525"/>
      <c r="TRA2" s="525"/>
      <c r="TRB2" s="525"/>
      <c r="TRC2" s="525"/>
      <c r="TRD2" s="525"/>
      <c r="TRE2" s="525"/>
      <c r="TRF2" s="525"/>
      <c r="TRG2" s="525"/>
      <c r="TRH2" s="525"/>
      <c r="TRI2" s="525"/>
      <c r="TRJ2" s="525"/>
      <c r="TRK2" s="525"/>
      <c r="TRL2" s="525"/>
      <c r="TRM2" s="525"/>
      <c r="TRN2" s="525"/>
      <c r="TRO2" s="525"/>
      <c r="TRP2" s="525"/>
      <c r="TRQ2" s="525"/>
      <c r="TRR2" s="525"/>
      <c r="TRS2" s="525"/>
      <c r="TRT2" s="525"/>
      <c r="TRU2" s="525"/>
      <c r="TRV2" s="525"/>
      <c r="TRW2" s="525"/>
      <c r="TRX2" s="525"/>
      <c r="TRY2" s="525"/>
      <c r="TRZ2" s="525"/>
      <c r="TSA2" s="525"/>
      <c r="TSB2" s="525"/>
      <c r="TSC2" s="525"/>
      <c r="TSD2" s="525"/>
      <c r="TSE2" s="525"/>
      <c r="TSF2" s="525"/>
      <c r="TSG2" s="525"/>
      <c r="TSH2" s="525"/>
      <c r="TSI2" s="525"/>
      <c r="TSJ2" s="525"/>
      <c r="TSK2" s="525"/>
      <c r="TSL2" s="525"/>
      <c r="TSM2" s="525"/>
      <c r="TSN2" s="525"/>
      <c r="TSO2" s="525"/>
      <c r="TSP2" s="525"/>
      <c r="TSQ2" s="525"/>
      <c r="TSR2" s="525"/>
      <c r="TSS2" s="525"/>
      <c r="TST2" s="525"/>
      <c r="TSU2" s="525"/>
      <c r="TSV2" s="525"/>
      <c r="TSW2" s="525"/>
      <c r="TSX2" s="525"/>
      <c r="TSY2" s="525"/>
      <c r="TSZ2" s="525"/>
      <c r="TTA2" s="525"/>
      <c r="TTB2" s="525"/>
      <c r="TTC2" s="525"/>
      <c r="TTD2" s="525"/>
      <c r="TTE2" s="525"/>
      <c r="TTF2" s="525"/>
      <c r="TTG2" s="525"/>
      <c r="TTH2" s="525"/>
      <c r="TTI2" s="525"/>
      <c r="TTJ2" s="525"/>
      <c r="TTK2" s="525"/>
      <c r="TTL2" s="525"/>
      <c r="TTM2" s="525"/>
      <c r="TTN2" s="525"/>
      <c r="TTO2" s="525"/>
      <c r="TTP2" s="525"/>
      <c r="TTQ2" s="525"/>
      <c r="TTR2" s="525"/>
      <c r="TTS2" s="525"/>
      <c r="TTT2" s="525"/>
      <c r="TTU2" s="525"/>
      <c r="TTV2" s="525"/>
      <c r="TTW2" s="525"/>
      <c r="TTX2" s="525"/>
      <c r="TTY2" s="525"/>
      <c r="TTZ2" s="525"/>
      <c r="TUA2" s="525"/>
      <c r="TUB2" s="525"/>
      <c r="TUC2" s="525"/>
      <c r="TUD2" s="525"/>
      <c r="TUE2" s="525"/>
      <c r="TUF2" s="525"/>
      <c r="TUG2" s="525"/>
      <c r="TUH2" s="525"/>
      <c r="TUI2" s="525"/>
      <c r="TUJ2" s="525"/>
      <c r="TUK2" s="525"/>
      <c r="TUL2" s="525"/>
      <c r="TUM2" s="525"/>
      <c r="TUN2" s="525"/>
      <c r="TUO2" s="525"/>
      <c r="TUP2" s="525"/>
      <c r="TUQ2" s="525"/>
      <c r="TUR2" s="525"/>
      <c r="TUS2" s="525"/>
      <c r="TUT2" s="525"/>
      <c r="TUU2" s="525"/>
      <c r="TUV2" s="525"/>
      <c r="TUW2" s="525"/>
      <c r="TUX2" s="525"/>
      <c r="TUY2" s="525"/>
      <c r="TUZ2" s="525"/>
      <c r="TVA2" s="525"/>
      <c r="TVB2" s="525"/>
      <c r="TVC2" s="525"/>
      <c r="TVD2" s="525"/>
      <c r="TVE2" s="525"/>
      <c r="TVF2" s="525"/>
      <c r="TVG2" s="525"/>
      <c r="TVH2" s="525"/>
      <c r="TVI2" s="525"/>
      <c r="TVJ2" s="525"/>
      <c r="TVK2" s="525"/>
      <c r="TVL2" s="525"/>
      <c r="TVM2" s="525"/>
      <c r="TVN2" s="525"/>
      <c r="TVO2" s="525"/>
      <c r="TVP2" s="525"/>
      <c r="TVQ2" s="525"/>
      <c r="TVR2" s="525"/>
      <c r="TVS2" s="525"/>
      <c r="TVT2" s="525"/>
      <c r="TVU2" s="525"/>
      <c r="TVV2" s="525"/>
      <c r="TVW2" s="525"/>
      <c r="TVX2" s="525"/>
      <c r="TVY2" s="525"/>
      <c r="TVZ2" s="525"/>
      <c r="TWA2" s="525"/>
      <c r="TWB2" s="525"/>
      <c r="TWC2" s="525"/>
      <c r="TWD2" s="525"/>
      <c r="TWE2" s="525"/>
      <c r="TWF2" s="525"/>
      <c r="TWG2" s="525"/>
      <c r="TWH2" s="525"/>
      <c r="TWI2" s="525"/>
      <c r="TWJ2" s="525"/>
      <c r="TWK2" s="525"/>
      <c r="TWL2" s="525"/>
      <c r="TWM2" s="525"/>
      <c r="TWN2" s="525"/>
      <c r="TWO2" s="525"/>
      <c r="TWP2" s="525"/>
      <c r="TWQ2" s="525"/>
      <c r="TWR2" s="525"/>
      <c r="TWS2" s="525"/>
      <c r="TWT2" s="525"/>
      <c r="TWU2" s="525"/>
      <c r="TWV2" s="525"/>
      <c r="TWW2" s="525"/>
      <c r="TWX2" s="525"/>
      <c r="TWY2" s="525"/>
      <c r="TWZ2" s="525"/>
      <c r="TXA2" s="525"/>
      <c r="TXB2" s="525"/>
      <c r="TXC2" s="525"/>
      <c r="TXD2" s="525"/>
      <c r="TXE2" s="525"/>
      <c r="TXF2" s="525"/>
      <c r="TXG2" s="525"/>
      <c r="TXH2" s="525"/>
      <c r="TXI2" s="525"/>
      <c r="TXJ2" s="525"/>
      <c r="TXK2" s="525"/>
      <c r="TXL2" s="525"/>
      <c r="TXM2" s="525"/>
      <c r="TXN2" s="525"/>
      <c r="TXO2" s="525"/>
      <c r="TXP2" s="525"/>
      <c r="TXQ2" s="525"/>
      <c r="TXR2" s="525"/>
      <c r="TXS2" s="525"/>
      <c r="TXT2" s="525"/>
      <c r="TXU2" s="525"/>
      <c r="TXV2" s="525"/>
      <c r="TXW2" s="525"/>
      <c r="TXX2" s="525"/>
      <c r="TXY2" s="525"/>
      <c r="TXZ2" s="525"/>
      <c r="TYA2" s="525"/>
      <c r="TYB2" s="525"/>
      <c r="TYC2" s="525"/>
      <c r="TYD2" s="525"/>
      <c r="TYE2" s="525"/>
      <c r="TYF2" s="525"/>
      <c r="TYG2" s="525"/>
      <c r="TYH2" s="525"/>
      <c r="TYI2" s="525"/>
      <c r="TYJ2" s="525"/>
      <c r="TYK2" s="525"/>
      <c r="TYL2" s="525"/>
      <c r="TYM2" s="525"/>
      <c r="TYN2" s="525"/>
      <c r="TYO2" s="525"/>
      <c r="TYP2" s="525"/>
      <c r="TYQ2" s="525"/>
      <c r="TYR2" s="525"/>
      <c r="TYS2" s="525"/>
      <c r="TYT2" s="525"/>
      <c r="TYU2" s="525"/>
      <c r="TYV2" s="525"/>
      <c r="TYW2" s="525"/>
      <c r="TYX2" s="525"/>
      <c r="TYY2" s="525"/>
      <c r="TYZ2" s="525"/>
      <c r="TZA2" s="525"/>
      <c r="TZB2" s="525"/>
      <c r="TZC2" s="525"/>
      <c r="TZD2" s="525"/>
      <c r="TZE2" s="525"/>
      <c r="TZF2" s="525"/>
      <c r="TZG2" s="525"/>
      <c r="TZH2" s="525"/>
      <c r="TZI2" s="525"/>
      <c r="TZJ2" s="525"/>
      <c r="TZK2" s="525"/>
      <c r="TZL2" s="525"/>
      <c r="TZM2" s="525"/>
      <c r="TZN2" s="525"/>
      <c r="TZO2" s="525"/>
      <c r="TZP2" s="525"/>
      <c r="TZQ2" s="525"/>
      <c r="TZR2" s="525"/>
      <c r="TZS2" s="525"/>
      <c r="TZT2" s="525"/>
      <c r="TZU2" s="525"/>
      <c r="TZV2" s="525"/>
      <c r="TZW2" s="525"/>
      <c r="TZX2" s="525"/>
      <c r="TZY2" s="525"/>
      <c r="TZZ2" s="525"/>
      <c r="UAA2" s="525"/>
      <c r="UAB2" s="525"/>
      <c r="UAC2" s="525"/>
      <c r="UAD2" s="525"/>
      <c r="UAE2" s="525"/>
      <c r="UAF2" s="525"/>
      <c r="UAG2" s="525"/>
      <c r="UAH2" s="525"/>
      <c r="UAI2" s="525"/>
      <c r="UAJ2" s="525"/>
      <c r="UAK2" s="525"/>
      <c r="UAL2" s="525"/>
      <c r="UAM2" s="525"/>
      <c r="UAN2" s="525"/>
      <c r="UAO2" s="525"/>
      <c r="UAP2" s="525"/>
      <c r="UAQ2" s="525"/>
      <c r="UAR2" s="525"/>
      <c r="UAS2" s="525"/>
      <c r="UAT2" s="525"/>
      <c r="UAU2" s="525"/>
      <c r="UAV2" s="525"/>
      <c r="UAW2" s="525"/>
      <c r="UAX2" s="525"/>
      <c r="UAY2" s="525"/>
      <c r="UAZ2" s="525"/>
      <c r="UBA2" s="525"/>
      <c r="UBB2" s="525"/>
      <c r="UBC2" s="525"/>
      <c r="UBD2" s="525"/>
      <c r="UBE2" s="525"/>
      <c r="UBF2" s="525"/>
      <c r="UBG2" s="525"/>
      <c r="UBH2" s="525"/>
      <c r="UBI2" s="525"/>
      <c r="UBJ2" s="525"/>
      <c r="UBK2" s="525"/>
      <c r="UBL2" s="525"/>
      <c r="UBM2" s="525"/>
      <c r="UBN2" s="525"/>
      <c r="UBO2" s="525"/>
      <c r="UBP2" s="525"/>
      <c r="UBQ2" s="525"/>
      <c r="UBR2" s="525"/>
      <c r="UBS2" s="525"/>
      <c r="UBT2" s="525"/>
      <c r="UBU2" s="525"/>
      <c r="UBV2" s="525"/>
      <c r="UBW2" s="525"/>
      <c r="UBX2" s="525"/>
      <c r="UBY2" s="525"/>
      <c r="UBZ2" s="525"/>
      <c r="UCA2" s="525"/>
      <c r="UCB2" s="525"/>
      <c r="UCC2" s="525"/>
      <c r="UCD2" s="525"/>
      <c r="UCE2" s="525"/>
      <c r="UCF2" s="525"/>
      <c r="UCG2" s="525"/>
      <c r="UCH2" s="525"/>
      <c r="UCI2" s="525"/>
      <c r="UCJ2" s="525"/>
      <c r="UCK2" s="525"/>
      <c r="UCL2" s="525"/>
      <c r="UCM2" s="525"/>
      <c r="UCN2" s="525"/>
      <c r="UCO2" s="525"/>
      <c r="UCP2" s="525"/>
      <c r="UCQ2" s="525"/>
      <c r="UCR2" s="525"/>
      <c r="UCS2" s="525"/>
      <c r="UCT2" s="525"/>
      <c r="UCU2" s="525"/>
      <c r="UCV2" s="525"/>
      <c r="UCW2" s="525"/>
      <c r="UCX2" s="525"/>
      <c r="UCY2" s="525"/>
      <c r="UCZ2" s="525"/>
      <c r="UDA2" s="525"/>
      <c r="UDB2" s="525"/>
      <c r="UDC2" s="525"/>
      <c r="UDD2" s="525"/>
      <c r="UDE2" s="525"/>
      <c r="UDF2" s="525"/>
      <c r="UDG2" s="525"/>
      <c r="UDH2" s="525"/>
      <c r="UDI2" s="525"/>
      <c r="UDJ2" s="525"/>
      <c r="UDK2" s="525"/>
      <c r="UDL2" s="525"/>
      <c r="UDM2" s="525"/>
      <c r="UDN2" s="525"/>
      <c r="UDO2" s="525"/>
      <c r="UDP2" s="525"/>
      <c r="UDQ2" s="525"/>
      <c r="UDR2" s="525"/>
      <c r="UDS2" s="525"/>
      <c r="UDT2" s="525"/>
      <c r="UDU2" s="525"/>
      <c r="UDV2" s="525"/>
      <c r="UDW2" s="525"/>
      <c r="UDX2" s="525"/>
      <c r="UDY2" s="525"/>
      <c r="UDZ2" s="525"/>
      <c r="UEA2" s="525"/>
      <c r="UEB2" s="525"/>
      <c r="UEC2" s="525"/>
      <c r="UED2" s="525"/>
      <c r="UEE2" s="525"/>
      <c r="UEF2" s="525"/>
      <c r="UEG2" s="525"/>
      <c r="UEH2" s="525"/>
      <c r="UEI2" s="525"/>
      <c r="UEJ2" s="525"/>
      <c r="UEK2" s="525"/>
      <c r="UEL2" s="525"/>
      <c r="UEM2" s="525"/>
      <c r="UEN2" s="525"/>
      <c r="UEO2" s="525"/>
      <c r="UEP2" s="525"/>
      <c r="UEQ2" s="525"/>
      <c r="UER2" s="525"/>
      <c r="UES2" s="525"/>
      <c r="UET2" s="525"/>
      <c r="UEU2" s="525"/>
      <c r="UEV2" s="525"/>
      <c r="UEW2" s="525"/>
      <c r="UEX2" s="525"/>
      <c r="UEY2" s="525"/>
      <c r="UEZ2" s="525"/>
      <c r="UFA2" s="525"/>
      <c r="UFB2" s="525"/>
      <c r="UFC2" s="525"/>
      <c r="UFD2" s="525"/>
      <c r="UFE2" s="525"/>
      <c r="UFF2" s="525"/>
      <c r="UFG2" s="525"/>
      <c r="UFH2" s="525"/>
      <c r="UFI2" s="525"/>
      <c r="UFJ2" s="525"/>
      <c r="UFK2" s="525"/>
      <c r="UFL2" s="525"/>
      <c r="UFM2" s="525"/>
      <c r="UFN2" s="525"/>
      <c r="UFO2" s="525"/>
      <c r="UFP2" s="525"/>
      <c r="UFQ2" s="525"/>
      <c r="UFR2" s="525"/>
      <c r="UFS2" s="525"/>
      <c r="UFT2" s="525"/>
      <c r="UFU2" s="525"/>
      <c r="UFV2" s="525"/>
      <c r="UFW2" s="525"/>
      <c r="UFX2" s="525"/>
      <c r="UFY2" s="525"/>
      <c r="UFZ2" s="525"/>
      <c r="UGA2" s="525"/>
      <c r="UGB2" s="525"/>
      <c r="UGC2" s="525"/>
      <c r="UGD2" s="525"/>
      <c r="UGE2" s="525"/>
      <c r="UGF2" s="525"/>
      <c r="UGG2" s="525"/>
      <c r="UGH2" s="525"/>
      <c r="UGI2" s="525"/>
      <c r="UGJ2" s="525"/>
      <c r="UGK2" s="525"/>
      <c r="UGL2" s="525"/>
      <c r="UGM2" s="525"/>
      <c r="UGN2" s="525"/>
      <c r="UGO2" s="525"/>
      <c r="UGP2" s="525"/>
      <c r="UGQ2" s="525"/>
      <c r="UGR2" s="525"/>
      <c r="UGS2" s="525"/>
      <c r="UGT2" s="525"/>
      <c r="UGU2" s="525"/>
      <c r="UGV2" s="525"/>
      <c r="UGW2" s="525"/>
      <c r="UGX2" s="525"/>
      <c r="UGY2" s="525"/>
      <c r="UGZ2" s="525"/>
      <c r="UHA2" s="525"/>
      <c r="UHB2" s="525"/>
      <c r="UHC2" s="525"/>
      <c r="UHD2" s="525"/>
      <c r="UHE2" s="525"/>
      <c r="UHF2" s="525"/>
      <c r="UHG2" s="525"/>
      <c r="UHH2" s="525"/>
      <c r="UHI2" s="525"/>
      <c r="UHJ2" s="525"/>
      <c r="UHK2" s="525"/>
      <c r="UHL2" s="525"/>
      <c r="UHM2" s="525"/>
      <c r="UHN2" s="525"/>
      <c r="UHO2" s="525"/>
      <c r="UHP2" s="525"/>
      <c r="UHQ2" s="525"/>
      <c r="UHR2" s="525"/>
      <c r="UHS2" s="525"/>
      <c r="UHT2" s="525"/>
      <c r="UHU2" s="525"/>
      <c r="UHV2" s="525"/>
      <c r="UHW2" s="525"/>
      <c r="UHX2" s="525"/>
      <c r="UHY2" s="525"/>
      <c r="UHZ2" s="525"/>
      <c r="UIA2" s="525"/>
      <c r="UIB2" s="525"/>
      <c r="UIC2" s="525"/>
      <c r="UID2" s="525"/>
      <c r="UIE2" s="525"/>
      <c r="UIF2" s="525"/>
      <c r="UIG2" s="525"/>
      <c r="UIH2" s="525"/>
      <c r="UII2" s="525"/>
      <c r="UIJ2" s="525"/>
      <c r="UIK2" s="525"/>
      <c r="UIL2" s="525"/>
      <c r="UIM2" s="525"/>
      <c r="UIN2" s="525"/>
      <c r="UIO2" s="525"/>
      <c r="UIP2" s="525"/>
      <c r="UIQ2" s="525"/>
      <c r="UIR2" s="525"/>
      <c r="UIS2" s="525"/>
      <c r="UIT2" s="525"/>
      <c r="UIU2" s="525"/>
      <c r="UIV2" s="525"/>
      <c r="UIW2" s="525"/>
      <c r="UIX2" s="525"/>
      <c r="UIY2" s="525"/>
      <c r="UIZ2" s="525"/>
      <c r="UJA2" s="525"/>
      <c r="UJB2" s="525"/>
      <c r="UJC2" s="525"/>
      <c r="UJD2" s="525"/>
      <c r="UJE2" s="525"/>
      <c r="UJF2" s="525"/>
      <c r="UJG2" s="525"/>
      <c r="UJH2" s="525"/>
      <c r="UJI2" s="525"/>
      <c r="UJJ2" s="525"/>
      <c r="UJK2" s="525"/>
      <c r="UJL2" s="525"/>
      <c r="UJM2" s="525"/>
      <c r="UJN2" s="525"/>
      <c r="UJO2" s="525"/>
      <c r="UJP2" s="525"/>
      <c r="UJQ2" s="525"/>
      <c r="UJR2" s="525"/>
      <c r="UJS2" s="525"/>
      <c r="UJT2" s="525"/>
      <c r="UJU2" s="525"/>
      <c r="UJV2" s="525"/>
      <c r="UJW2" s="525"/>
      <c r="UJX2" s="525"/>
      <c r="UJY2" s="525"/>
      <c r="UJZ2" s="525"/>
      <c r="UKA2" s="525"/>
      <c r="UKB2" s="525"/>
      <c r="UKC2" s="525"/>
      <c r="UKD2" s="525"/>
      <c r="UKE2" s="525"/>
      <c r="UKF2" s="525"/>
      <c r="UKG2" s="525"/>
      <c r="UKH2" s="525"/>
      <c r="UKI2" s="525"/>
      <c r="UKJ2" s="525"/>
      <c r="UKK2" s="525"/>
      <c r="UKL2" s="525"/>
      <c r="UKM2" s="525"/>
      <c r="UKN2" s="525"/>
      <c r="UKO2" s="525"/>
      <c r="UKP2" s="525"/>
      <c r="UKQ2" s="525"/>
      <c r="UKR2" s="525"/>
      <c r="UKS2" s="525"/>
      <c r="UKT2" s="525"/>
      <c r="UKU2" s="525"/>
      <c r="UKV2" s="525"/>
      <c r="UKW2" s="525"/>
      <c r="UKX2" s="525"/>
      <c r="UKY2" s="525"/>
      <c r="UKZ2" s="525"/>
      <c r="ULA2" s="525"/>
      <c r="ULB2" s="525"/>
      <c r="ULC2" s="525"/>
      <c r="ULD2" s="525"/>
      <c r="ULE2" s="525"/>
      <c r="ULF2" s="525"/>
      <c r="ULG2" s="525"/>
      <c r="ULH2" s="525"/>
      <c r="ULI2" s="525"/>
      <c r="ULJ2" s="525"/>
      <c r="ULK2" s="525"/>
      <c r="ULL2" s="525"/>
      <c r="ULM2" s="525"/>
      <c r="ULN2" s="525"/>
      <c r="ULO2" s="525"/>
      <c r="ULP2" s="525"/>
      <c r="ULQ2" s="525"/>
      <c r="ULR2" s="525"/>
      <c r="ULS2" s="525"/>
      <c r="ULT2" s="525"/>
      <c r="ULU2" s="525"/>
      <c r="ULV2" s="525"/>
      <c r="ULW2" s="525"/>
      <c r="ULX2" s="525"/>
      <c r="ULY2" s="525"/>
      <c r="ULZ2" s="525"/>
      <c r="UMA2" s="525"/>
      <c r="UMB2" s="525"/>
      <c r="UMC2" s="525"/>
      <c r="UMD2" s="525"/>
      <c r="UME2" s="525"/>
      <c r="UMF2" s="525"/>
      <c r="UMG2" s="525"/>
      <c r="UMH2" s="525"/>
      <c r="UMI2" s="525"/>
      <c r="UMJ2" s="525"/>
      <c r="UMK2" s="525"/>
      <c r="UML2" s="525"/>
      <c r="UMM2" s="525"/>
      <c r="UMN2" s="525"/>
      <c r="UMO2" s="525"/>
      <c r="UMP2" s="525"/>
      <c r="UMQ2" s="525"/>
      <c r="UMR2" s="525"/>
      <c r="UMS2" s="525"/>
      <c r="UMT2" s="525"/>
      <c r="UMU2" s="525"/>
      <c r="UMV2" s="525"/>
      <c r="UMW2" s="525"/>
      <c r="UMX2" s="525"/>
      <c r="UMY2" s="525"/>
      <c r="UMZ2" s="525"/>
      <c r="UNA2" s="525"/>
      <c r="UNB2" s="525"/>
      <c r="UNC2" s="525"/>
      <c r="UND2" s="525"/>
      <c r="UNE2" s="525"/>
      <c r="UNF2" s="525"/>
      <c r="UNG2" s="525"/>
      <c r="UNH2" s="525"/>
      <c r="UNI2" s="525"/>
      <c r="UNJ2" s="525"/>
      <c r="UNK2" s="525"/>
      <c r="UNL2" s="525"/>
      <c r="UNM2" s="525"/>
      <c r="UNN2" s="525"/>
      <c r="UNO2" s="525"/>
      <c r="UNP2" s="525"/>
      <c r="UNQ2" s="525"/>
      <c r="UNR2" s="525"/>
      <c r="UNS2" s="525"/>
      <c r="UNT2" s="525"/>
      <c r="UNU2" s="525"/>
      <c r="UNV2" s="525"/>
      <c r="UNW2" s="525"/>
      <c r="UNX2" s="525"/>
      <c r="UNY2" s="525"/>
      <c r="UNZ2" s="525"/>
      <c r="UOA2" s="525"/>
      <c r="UOB2" s="525"/>
      <c r="UOC2" s="525"/>
      <c r="UOD2" s="525"/>
      <c r="UOE2" s="525"/>
      <c r="UOF2" s="525"/>
      <c r="UOG2" s="525"/>
      <c r="UOH2" s="525"/>
      <c r="UOI2" s="525"/>
      <c r="UOJ2" s="525"/>
      <c r="UOK2" s="525"/>
      <c r="UOL2" s="525"/>
      <c r="UOM2" s="525"/>
      <c r="UON2" s="525"/>
      <c r="UOO2" s="525"/>
      <c r="UOP2" s="525"/>
      <c r="UOQ2" s="525"/>
      <c r="UOR2" s="525"/>
      <c r="UOS2" s="525"/>
      <c r="UOT2" s="525"/>
      <c r="UOU2" s="525"/>
      <c r="UOV2" s="525"/>
      <c r="UOW2" s="525"/>
      <c r="UOX2" s="525"/>
      <c r="UOY2" s="525"/>
      <c r="UOZ2" s="525"/>
      <c r="UPA2" s="525"/>
      <c r="UPB2" s="525"/>
      <c r="UPC2" s="525"/>
      <c r="UPD2" s="525"/>
      <c r="UPE2" s="525"/>
      <c r="UPF2" s="525"/>
      <c r="UPG2" s="525"/>
      <c r="UPH2" s="525"/>
      <c r="UPI2" s="525"/>
      <c r="UPJ2" s="525"/>
      <c r="UPK2" s="525"/>
      <c r="UPL2" s="525"/>
      <c r="UPM2" s="525"/>
      <c r="UPN2" s="525"/>
      <c r="UPO2" s="525"/>
      <c r="UPP2" s="525"/>
      <c r="UPQ2" s="525"/>
      <c r="UPR2" s="525"/>
      <c r="UPS2" s="525"/>
      <c r="UPT2" s="525"/>
      <c r="UPU2" s="525"/>
      <c r="UPV2" s="525"/>
      <c r="UPW2" s="525"/>
      <c r="UPX2" s="525"/>
      <c r="UPY2" s="525"/>
      <c r="UPZ2" s="525"/>
      <c r="UQA2" s="525"/>
      <c r="UQB2" s="525"/>
      <c r="UQC2" s="525"/>
      <c r="UQD2" s="525"/>
      <c r="UQE2" s="525"/>
      <c r="UQF2" s="525"/>
      <c r="UQG2" s="525"/>
      <c r="UQH2" s="525"/>
      <c r="UQI2" s="525"/>
      <c r="UQJ2" s="525"/>
      <c r="UQK2" s="525"/>
      <c r="UQL2" s="525"/>
      <c r="UQM2" s="525"/>
      <c r="UQN2" s="525"/>
      <c r="UQO2" s="525"/>
      <c r="UQP2" s="525"/>
      <c r="UQQ2" s="525"/>
      <c r="UQR2" s="525"/>
      <c r="UQS2" s="525"/>
      <c r="UQT2" s="525"/>
      <c r="UQU2" s="525"/>
      <c r="UQV2" s="525"/>
      <c r="UQW2" s="525"/>
      <c r="UQX2" s="525"/>
      <c r="UQY2" s="525"/>
      <c r="UQZ2" s="525"/>
      <c r="URA2" s="525"/>
      <c r="URB2" s="525"/>
      <c r="URC2" s="525"/>
      <c r="URD2" s="525"/>
      <c r="URE2" s="525"/>
      <c r="URF2" s="525"/>
      <c r="URG2" s="525"/>
      <c r="URH2" s="525"/>
      <c r="URI2" s="525"/>
      <c r="URJ2" s="525"/>
      <c r="URK2" s="525"/>
      <c r="URL2" s="525"/>
      <c r="URM2" s="525"/>
      <c r="URN2" s="525"/>
      <c r="URO2" s="525"/>
      <c r="URP2" s="525"/>
      <c r="URQ2" s="525"/>
      <c r="URR2" s="525"/>
      <c r="URS2" s="525"/>
      <c r="URT2" s="525"/>
      <c r="URU2" s="525"/>
      <c r="URV2" s="525"/>
      <c r="URW2" s="525"/>
      <c r="URX2" s="525"/>
      <c r="URY2" s="525"/>
      <c r="URZ2" s="525"/>
      <c r="USA2" s="525"/>
      <c r="USB2" s="525"/>
      <c r="USC2" s="525"/>
      <c r="USD2" s="525"/>
      <c r="USE2" s="525"/>
      <c r="USF2" s="525"/>
      <c r="USG2" s="525"/>
      <c r="USH2" s="525"/>
      <c r="USI2" s="525"/>
      <c r="USJ2" s="525"/>
      <c r="USK2" s="525"/>
      <c r="USL2" s="525"/>
      <c r="USM2" s="525"/>
      <c r="USN2" s="525"/>
      <c r="USO2" s="525"/>
      <c r="USP2" s="525"/>
      <c r="USQ2" s="525"/>
      <c r="USR2" s="525"/>
      <c r="USS2" s="525"/>
      <c r="UST2" s="525"/>
      <c r="USU2" s="525"/>
      <c r="USV2" s="525"/>
      <c r="USW2" s="525"/>
      <c r="USX2" s="525"/>
      <c r="USY2" s="525"/>
      <c r="USZ2" s="525"/>
      <c r="UTA2" s="525"/>
      <c r="UTB2" s="525"/>
      <c r="UTC2" s="525"/>
      <c r="UTD2" s="525"/>
      <c r="UTE2" s="525"/>
      <c r="UTF2" s="525"/>
      <c r="UTG2" s="525"/>
      <c r="UTH2" s="525"/>
      <c r="UTI2" s="525"/>
      <c r="UTJ2" s="525"/>
      <c r="UTK2" s="525"/>
      <c r="UTL2" s="525"/>
      <c r="UTM2" s="525"/>
      <c r="UTN2" s="525"/>
      <c r="UTO2" s="525"/>
      <c r="UTP2" s="525"/>
      <c r="UTQ2" s="525"/>
      <c r="UTR2" s="525"/>
      <c r="UTS2" s="525"/>
      <c r="UTT2" s="525"/>
      <c r="UTU2" s="525"/>
      <c r="UTV2" s="525"/>
      <c r="UTW2" s="525"/>
      <c r="UTX2" s="525"/>
      <c r="UTY2" s="525"/>
      <c r="UTZ2" s="525"/>
      <c r="UUA2" s="525"/>
      <c r="UUB2" s="525"/>
      <c r="UUC2" s="525"/>
      <c r="UUD2" s="525"/>
      <c r="UUE2" s="525"/>
      <c r="UUF2" s="525"/>
      <c r="UUG2" s="525"/>
      <c r="UUH2" s="525"/>
      <c r="UUI2" s="525"/>
      <c r="UUJ2" s="525"/>
      <c r="UUK2" s="525"/>
      <c r="UUL2" s="525"/>
      <c r="UUM2" s="525"/>
      <c r="UUN2" s="525"/>
      <c r="UUO2" s="525"/>
      <c r="UUP2" s="525"/>
      <c r="UUQ2" s="525"/>
      <c r="UUR2" s="525"/>
      <c r="UUS2" s="525"/>
      <c r="UUT2" s="525"/>
      <c r="UUU2" s="525"/>
      <c r="UUV2" s="525"/>
      <c r="UUW2" s="525"/>
      <c r="UUX2" s="525"/>
      <c r="UUY2" s="525"/>
      <c r="UUZ2" s="525"/>
      <c r="UVA2" s="525"/>
      <c r="UVB2" s="525"/>
      <c r="UVC2" s="525"/>
      <c r="UVD2" s="525"/>
      <c r="UVE2" s="525"/>
      <c r="UVF2" s="525"/>
      <c r="UVG2" s="525"/>
      <c r="UVH2" s="525"/>
      <c r="UVI2" s="525"/>
      <c r="UVJ2" s="525"/>
      <c r="UVK2" s="525"/>
      <c r="UVL2" s="525"/>
      <c r="UVM2" s="525"/>
      <c r="UVN2" s="525"/>
      <c r="UVO2" s="525"/>
      <c r="UVP2" s="525"/>
      <c r="UVQ2" s="525"/>
      <c r="UVR2" s="525"/>
      <c r="UVS2" s="525"/>
      <c r="UVT2" s="525"/>
      <c r="UVU2" s="525"/>
      <c r="UVV2" s="525"/>
      <c r="UVW2" s="525"/>
      <c r="UVX2" s="525"/>
      <c r="UVY2" s="525"/>
      <c r="UVZ2" s="525"/>
      <c r="UWA2" s="525"/>
      <c r="UWB2" s="525"/>
      <c r="UWC2" s="525"/>
      <c r="UWD2" s="525"/>
      <c r="UWE2" s="525"/>
      <c r="UWF2" s="525"/>
      <c r="UWG2" s="525"/>
      <c r="UWH2" s="525"/>
      <c r="UWI2" s="525"/>
      <c r="UWJ2" s="525"/>
      <c r="UWK2" s="525"/>
      <c r="UWL2" s="525"/>
      <c r="UWM2" s="525"/>
      <c r="UWN2" s="525"/>
      <c r="UWO2" s="525"/>
      <c r="UWP2" s="525"/>
      <c r="UWQ2" s="525"/>
      <c r="UWR2" s="525"/>
      <c r="UWS2" s="525"/>
      <c r="UWT2" s="525"/>
      <c r="UWU2" s="525"/>
      <c r="UWV2" s="525"/>
      <c r="UWW2" s="525"/>
      <c r="UWX2" s="525"/>
      <c r="UWY2" s="525"/>
      <c r="UWZ2" s="525"/>
      <c r="UXA2" s="525"/>
      <c r="UXB2" s="525"/>
      <c r="UXC2" s="525"/>
      <c r="UXD2" s="525"/>
      <c r="UXE2" s="525"/>
      <c r="UXF2" s="525"/>
      <c r="UXG2" s="525"/>
      <c r="UXH2" s="525"/>
      <c r="UXI2" s="525"/>
      <c r="UXJ2" s="525"/>
      <c r="UXK2" s="525"/>
      <c r="UXL2" s="525"/>
      <c r="UXM2" s="525"/>
      <c r="UXN2" s="525"/>
      <c r="UXO2" s="525"/>
      <c r="UXP2" s="525"/>
      <c r="UXQ2" s="525"/>
      <c r="UXR2" s="525"/>
      <c r="UXS2" s="525"/>
      <c r="UXT2" s="525"/>
      <c r="UXU2" s="525"/>
      <c r="UXV2" s="525"/>
      <c r="UXW2" s="525"/>
      <c r="UXX2" s="525"/>
      <c r="UXY2" s="525"/>
      <c r="UXZ2" s="525"/>
      <c r="UYA2" s="525"/>
      <c r="UYB2" s="525"/>
      <c r="UYC2" s="525"/>
      <c r="UYD2" s="525"/>
      <c r="UYE2" s="525"/>
      <c r="UYF2" s="525"/>
      <c r="UYG2" s="525"/>
      <c r="UYH2" s="525"/>
      <c r="UYI2" s="525"/>
      <c r="UYJ2" s="525"/>
      <c r="UYK2" s="525"/>
      <c r="UYL2" s="525"/>
      <c r="UYM2" s="525"/>
      <c r="UYN2" s="525"/>
      <c r="UYO2" s="525"/>
      <c r="UYP2" s="525"/>
      <c r="UYQ2" s="525"/>
      <c r="UYR2" s="525"/>
      <c r="UYS2" s="525"/>
      <c r="UYT2" s="525"/>
      <c r="UYU2" s="525"/>
      <c r="UYV2" s="525"/>
      <c r="UYW2" s="525"/>
      <c r="UYX2" s="525"/>
      <c r="UYY2" s="525"/>
      <c r="UYZ2" s="525"/>
      <c r="UZA2" s="525"/>
      <c r="UZB2" s="525"/>
      <c r="UZC2" s="525"/>
      <c r="UZD2" s="525"/>
      <c r="UZE2" s="525"/>
      <c r="UZF2" s="525"/>
      <c r="UZG2" s="525"/>
      <c r="UZH2" s="525"/>
      <c r="UZI2" s="525"/>
      <c r="UZJ2" s="525"/>
      <c r="UZK2" s="525"/>
      <c r="UZL2" s="525"/>
      <c r="UZM2" s="525"/>
      <c r="UZN2" s="525"/>
      <c r="UZO2" s="525"/>
      <c r="UZP2" s="525"/>
      <c r="UZQ2" s="525"/>
      <c r="UZR2" s="525"/>
      <c r="UZS2" s="525"/>
      <c r="UZT2" s="525"/>
      <c r="UZU2" s="525"/>
      <c r="UZV2" s="525"/>
      <c r="UZW2" s="525"/>
      <c r="UZX2" s="525"/>
      <c r="UZY2" s="525"/>
      <c r="UZZ2" s="525"/>
      <c r="VAA2" s="525"/>
      <c r="VAB2" s="525"/>
      <c r="VAC2" s="525"/>
      <c r="VAD2" s="525"/>
      <c r="VAE2" s="525"/>
      <c r="VAF2" s="525"/>
      <c r="VAG2" s="525"/>
      <c r="VAH2" s="525"/>
      <c r="VAI2" s="525"/>
      <c r="VAJ2" s="525"/>
      <c r="VAK2" s="525"/>
      <c r="VAL2" s="525"/>
      <c r="VAM2" s="525"/>
      <c r="VAN2" s="525"/>
      <c r="VAO2" s="525"/>
      <c r="VAP2" s="525"/>
      <c r="VAQ2" s="525"/>
      <c r="VAR2" s="525"/>
      <c r="VAS2" s="525"/>
      <c r="VAT2" s="525"/>
      <c r="VAU2" s="525"/>
      <c r="VAV2" s="525"/>
      <c r="VAW2" s="525"/>
      <c r="VAX2" s="525"/>
      <c r="VAY2" s="525"/>
      <c r="VAZ2" s="525"/>
      <c r="VBA2" s="525"/>
      <c r="VBB2" s="525"/>
      <c r="VBC2" s="525"/>
      <c r="VBD2" s="525"/>
      <c r="VBE2" s="525"/>
      <c r="VBF2" s="525"/>
      <c r="VBG2" s="525"/>
      <c r="VBH2" s="525"/>
      <c r="VBI2" s="525"/>
      <c r="VBJ2" s="525"/>
      <c r="VBK2" s="525"/>
      <c r="VBL2" s="525"/>
      <c r="VBM2" s="525"/>
      <c r="VBN2" s="525"/>
      <c r="VBO2" s="525"/>
      <c r="VBP2" s="525"/>
      <c r="VBQ2" s="525"/>
      <c r="VBR2" s="525"/>
      <c r="VBS2" s="525"/>
      <c r="VBT2" s="525"/>
      <c r="VBU2" s="525"/>
      <c r="VBV2" s="525"/>
      <c r="VBW2" s="525"/>
      <c r="VBX2" s="525"/>
      <c r="VBY2" s="525"/>
      <c r="VBZ2" s="525"/>
      <c r="VCA2" s="525"/>
      <c r="VCB2" s="525"/>
      <c r="VCC2" s="525"/>
      <c r="VCD2" s="525"/>
      <c r="VCE2" s="525"/>
      <c r="VCF2" s="525"/>
      <c r="VCG2" s="525"/>
      <c r="VCH2" s="525"/>
      <c r="VCI2" s="525"/>
      <c r="VCJ2" s="525"/>
      <c r="VCK2" s="525"/>
      <c r="VCL2" s="525"/>
      <c r="VCM2" s="525"/>
      <c r="VCN2" s="525"/>
      <c r="VCO2" s="525"/>
      <c r="VCP2" s="525"/>
      <c r="VCQ2" s="525"/>
      <c r="VCR2" s="525"/>
      <c r="VCS2" s="525"/>
      <c r="VCT2" s="525"/>
      <c r="VCU2" s="525"/>
      <c r="VCV2" s="525"/>
      <c r="VCW2" s="525"/>
      <c r="VCX2" s="525"/>
      <c r="VCY2" s="525"/>
      <c r="VCZ2" s="525"/>
      <c r="VDA2" s="525"/>
      <c r="VDB2" s="525"/>
      <c r="VDC2" s="525"/>
      <c r="VDD2" s="525"/>
      <c r="VDE2" s="525"/>
      <c r="VDF2" s="525"/>
      <c r="VDG2" s="525"/>
      <c r="VDH2" s="525"/>
      <c r="VDI2" s="525"/>
      <c r="VDJ2" s="525"/>
      <c r="VDK2" s="525"/>
      <c r="VDL2" s="525"/>
      <c r="VDM2" s="525"/>
      <c r="VDN2" s="525"/>
      <c r="VDO2" s="525"/>
      <c r="VDP2" s="525"/>
      <c r="VDQ2" s="525"/>
      <c r="VDR2" s="525"/>
      <c r="VDS2" s="525"/>
      <c r="VDT2" s="525"/>
      <c r="VDU2" s="525"/>
      <c r="VDV2" s="525"/>
      <c r="VDW2" s="525"/>
      <c r="VDX2" s="525"/>
      <c r="VDY2" s="525"/>
      <c r="VDZ2" s="525"/>
      <c r="VEA2" s="525"/>
      <c r="VEB2" s="525"/>
      <c r="VEC2" s="525"/>
      <c r="VED2" s="525"/>
      <c r="VEE2" s="525"/>
      <c r="VEF2" s="525"/>
      <c r="VEG2" s="525"/>
      <c r="VEH2" s="525"/>
      <c r="VEI2" s="525"/>
      <c r="VEJ2" s="525"/>
      <c r="VEK2" s="525"/>
      <c r="VEL2" s="525"/>
      <c r="VEM2" s="525"/>
      <c r="VEN2" s="525"/>
      <c r="VEO2" s="525"/>
      <c r="VEP2" s="525"/>
      <c r="VEQ2" s="525"/>
      <c r="VER2" s="525"/>
      <c r="VES2" s="525"/>
      <c r="VET2" s="525"/>
      <c r="VEU2" s="525"/>
      <c r="VEV2" s="525"/>
      <c r="VEW2" s="525"/>
      <c r="VEX2" s="525"/>
      <c r="VEY2" s="525"/>
      <c r="VEZ2" s="525"/>
      <c r="VFA2" s="525"/>
      <c r="VFB2" s="525"/>
      <c r="VFC2" s="525"/>
      <c r="VFD2" s="525"/>
      <c r="VFE2" s="525"/>
      <c r="VFF2" s="525"/>
      <c r="VFG2" s="525"/>
      <c r="VFH2" s="525"/>
      <c r="VFI2" s="525"/>
      <c r="VFJ2" s="525"/>
      <c r="VFK2" s="525"/>
      <c r="VFL2" s="525"/>
      <c r="VFM2" s="525"/>
      <c r="VFN2" s="525"/>
      <c r="VFO2" s="525"/>
      <c r="VFP2" s="525"/>
      <c r="VFQ2" s="525"/>
      <c r="VFR2" s="525"/>
      <c r="VFS2" s="525"/>
      <c r="VFT2" s="525"/>
      <c r="VFU2" s="525"/>
      <c r="VFV2" s="525"/>
      <c r="VFW2" s="525"/>
      <c r="VFX2" s="525"/>
      <c r="VFY2" s="525"/>
      <c r="VFZ2" s="525"/>
      <c r="VGA2" s="525"/>
      <c r="VGB2" s="525"/>
      <c r="VGC2" s="525"/>
      <c r="VGD2" s="525"/>
      <c r="VGE2" s="525"/>
      <c r="VGF2" s="525"/>
      <c r="VGG2" s="525"/>
      <c r="VGH2" s="525"/>
      <c r="VGI2" s="525"/>
      <c r="VGJ2" s="525"/>
      <c r="VGK2" s="525"/>
      <c r="VGL2" s="525"/>
      <c r="VGM2" s="525"/>
      <c r="VGN2" s="525"/>
      <c r="VGO2" s="525"/>
      <c r="VGP2" s="525"/>
      <c r="VGQ2" s="525"/>
      <c r="VGR2" s="525"/>
      <c r="VGS2" s="525"/>
      <c r="VGT2" s="525"/>
      <c r="VGU2" s="525"/>
      <c r="VGV2" s="525"/>
      <c r="VGW2" s="525"/>
      <c r="VGX2" s="525"/>
      <c r="VGY2" s="525"/>
      <c r="VGZ2" s="525"/>
      <c r="VHA2" s="525"/>
      <c r="VHB2" s="525"/>
      <c r="VHC2" s="525"/>
      <c r="VHD2" s="525"/>
      <c r="VHE2" s="525"/>
      <c r="VHF2" s="525"/>
      <c r="VHG2" s="525"/>
      <c r="VHH2" s="525"/>
      <c r="VHI2" s="525"/>
      <c r="VHJ2" s="525"/>
      <c r="VHK2" s="525"/>
      <c r="VHL2" s="525"/>
      <c r="VHM2" s="525"/>
      <c r="VHN2" s="525"/>
      <c r="VHO2" s="525"/>
      <c r="VHP2" s="525"/>
      <c r="VHQ2" s="525"/>
      <c r="VHR2" s="525"/>
      <c r="VHS2" s="525"/>
      <c r="VHT2" s="525"/>
      <c r="VHU2" s="525"/>
      <c r="VHV2" s="525"/>
      <c r="VHW2" s="525"/>
      <c r="VHX2" s="525"/>
      <c r="VHY2" s="525"/>
      <c r="VHZ2" s="525"/>
      <c r="VIA2" s="525"/>
      <c r="VIB2" s="525"/>
      <c r="VIC2" s="525"/>
      <c r="VID2" s="525"/>
      <c r="VIE2" s="525"/>
      <c r="VIF2" s="525"/>
      <c r="VIG2" s="525"/>
      <c r="VIH2" s="525"/>
      <c r="VII2" s="525"/>
      <c r="VIJ2" s="525"/>
      <c r="VIK2" s="525"/>
      <c r="VIL2" s="525"/>
      <c r="VIM2" s="525"/>
      <c r="VIN2" s="525"/>
      <c r="VIO2" s="525"/>
      <c r="VIP2" s="525"/>
      <c r="VIQ2" s="525"/>
      <c r="VIR2" s="525"/>
      <c r="VIS2" s="525"/>
      <c r="VIT2" s="525"/>
      <c r="VIU2" s="525"/>
      <c r="VIV2" s="525"/>
      <c r="VIW2" s="525"/>
      <c r="VIX2" s="525"/>
      <c r="VIY2" s="525"/>
      <c r="VIZ2" s="525"/>
      <c r="VJA2" s="525"/>
      <c r="VJB2" s="525"/>
      <c r="VJC2" s="525"/>
      <c r="VJD2" s="525"/>
      <c r="VJE2" s="525"/>
      <c r="VJF2" s="525"/>
      <c r="VJG2" s="525"/>
      <c r="VJH2" s="525"/>
      <c r="VJI2" s="525"/>
      <c r="VJJ2" s="525"/>
      <c r="VJK2" s="525"/>
      <c r="VJL2" s="525"/>
      <c r="VJM2" s="525"/>
      <c r="VJN2" s="525"/>
      <c r="VJO2" s="525"/>
      <c r="VJP2" s="525"/>
      <c r="VJQ2" s="525"/>
      <c r="VJR2" s="525"/>
      <c r="VJS2" s="525"/>
      <c r="VJT2" s="525"/>
      <c r="VJU2" s="525"/>
      <c r="VJV2" s="525"/>
      <c r="VJW2" s="525"/>
      <c r="VJX2" s="525"/>
      <c r="VJY2" s="525"/>
      <c r="VJZ2" s="525"/>
      <c r="VKA2" s="525"/>
      <c r="VKB2" s="525"/>
      <c r="VKC2" s="525"/>
      <c r="VKD2" s="525"/>
      <c r="VKE2" s="525"/>
      <c r="VKF2" s="525"/>
      <c r="VKG2" s="525"/>
      <c r="VKH2" s="525"/>
      <c r="VKI2" s="525"/>
      <c r="VKJ2" s="525"/>
      <c r="VKK2" s="525"/>
      <c r="VKL2" s="525"/>
      <c r="VKM2" s="525"/>
      <c r="VKN2" s="525"/>
      <c r="VKO2" s="525"/>
      <c r="VKP2" s="525"/>
      <c r="VKQ2" s="525"/>
      <c r="VKR2" s="525"/>
      <c r="VKS2" s="525"/>
      <c r="VKT2" s="525"/>
      <c r="VKU2" s="525"/>
      <c r="VKV2" s="525"/>
      <c r="VKW2" s="525"/>
      <c r="VKX2" s="525"/>
      <c r="VKY2" s="525"/>
      <c r="VKZ2" s="525"/>
      <c r="VLA2" s="525"/>
      <c r="VLB2" s="525"/>
      <c r="VLC2" s="525"/>
      <c r="VLD2" s="525"/>
      <c r="VLE2" s="525"/>
      <c r="VLF2" s="525"/>
      <c r="VLG2" s="525"/>
      <c r="VLH2" s="525"/>
      <c r="VLI2" s="525"/>
      <c r="VLJ2" s="525"/>
      <c r="VLK2" s="525"/>
      <c r="VLL2" s="525"/>
      <c r="VLM2" s="525"/>
      <c r="VLN2" s="525"/>
      <c r="VLO2" s="525"/>
      <c r="VLP2" s="525"/>
      <c r="VLQ2" s="525"/>
      <c r="VLR2" s="525"/>
      <c r="VLS2" s="525"/>
      <c r="VLT2" s="525"/>
      <c r="VLU2" s="525"/>
      <c r="VLV2" s="525"/>
      <c r="VLW2" s="525"/>
      <c r="VLX2" s="525"/>
      <c r="VLY2" s="525"/>
      <c r="VLZ2" s="525"/>
      <c r="VMA2" s="525"/>
      <c r="VMB2" s="525"/>
      <c r="VMC2" s="525"/>
      <c r="VMD2" s="525"/>
      <c r="VME2" s="525"/>
      <c r="VMF2" s="525"/>
      <c r="VMG2" s="525"/>
      <c r="VMH2" s="525"/>
      <c r="VMI2" s="525"/>
      <c r="VMJ2" s="525"/>
      <c r="VMK2" s="525"/>
      <c r="VML2" s="525"/>
      <c r="VMM2" s="525"/>
      <c r="VMN2" s="525"/>
      <c r="VMO2" s="525"/>
      <c r="VMP2" s="525"/>
      <c r="VMQ2" s="525"/>
      <c r="VMR2" s="525"/>
      <c r="VMS2" s="525"/>
      <c r="VMT2" s="525"/>
      <c r="VMU2" s="525"/>
      <c r="VMV2" s="525"/>
      <c r="VMW2" s="525"/>
      <c r="VMX2" s="525"/>
      <c r="VMY2" s="525"/>
      <c r="VMZ2" s="525"/>
      <c r="VNA2" s="525"/>
      <c r="VNB2" s="525"/>
      <c r="VNC2" s="525"/>
      <c r="VND2" s="525"/>
      <c r="VNE2" s="525"/>
      <c r="VNF2" s="525"/>
      <c r="VNG2" s="525"/>
      <c r="VNH2" s="525"/>
      <c r="VNI2" s="525"/>
      <c r="VNJ2" s="525"/>
      <c r="VNK2" s="525"/>
      <c r="VNL2" s="525"/>
      <c r="VNM2" s="525"/>
      <c r="VNN2" s="525"/>
      <c r="VNO2" s="525"/>
      <c r="VNP2" s="525"/>
      <c r="VNQ2" s="525"/>
      <c r="VNR2" s="525"/>
      <c r="VNS2" s="525"/>
      <c r="VNT2" s="525"/>
      <c r="VNU2" s="525"/>
      <c r="VNV2" s="525"/>
      <c r="VNW2" s="525"/>
      <c r="VNX2" s="525"/>
      <c r="VNY2" s="525"/>
      <c r="VNZ2" s="525"/>
      <c r="VOA2" s="525"/>
      <c r="VOB2" s="525"/>
      <c r="VOC2" s="525"/>
      <c r="VOD2" s="525"/>
      <c r="VOE2" s="525"/>
      <c r="VOF2" s="525"/>
      <c r="VOG2" s="525"/>
      <c r="VOH2" s="525"/>
      <c r="VOI2" s="525"/>
      <c r="VOJ2" s="525"/>
      <c r="VOK2" s="525"/>
      <c r="VOL2" s="525"/>
      <c r="VOM2" s="525"/>
      <c r="VON2" s="525"/>
      <c r="VOO2" s="525"/>
      <c r="VOP2" s="525"/>
      <c r="VOQ2" s="525"/>
      <c r="VOR2" s="525"/>
      <c r="VOS2" s="525"/>
      <c r="VOT2" s="525"/>
      <c r="VOU2" s="525"/>
      <c r="VOV2" s="525"/>
      <c r="VOW2" s="525"/>
      <c r="VOX2" s="525"/>
      <c r="VOY2" s="525"/>
      <c r="VOZ2" s="525"/>
      <c r="VPA2" s="525"/>
      <c r="VPB2" s="525"/>
      <c r="VPC2" s="525"/>
      <c r="VPD2" s="525"/>
      <c r="VPE2" s="525"/>
      <c r="VPF2" s="525"/>
      <c r="VPG2" s="525"/>
      <c r="VPH2" s="525"/>
      <c r="VPI2" s="525"/>
      <c r="VPJ2" s="525"/>
      <c r="VPK2" s="525"/>
      <c r="VPL2" s="525"/>
      <c r="VPM2" s="525"/>
      <c r="VPN2" s="525"/>
      <c r="VPO2" s="525"/>
      <c r="VPP2" s="525"/>
      <c r="VPQ2" s="525"/>
      <c r="VPR2" s="525"/>
      <c r="VPS2" s="525"/>
      <c r="VPT2" s="525"/>
      <c r="VPU2" s="525"/>
      <c r="VPV2" s="525"/>
      <c r="VPW2" s="525"/>
      <c r="VPX2" s="525"/>
      <c r="VPY2" s="525"/>
      <c r="VPZ2" s="525"/>
      <c r="VQA2" s="525"/>
      <c r="VQB2" s="525"/>
      <c r="VQC2" s="525"/>
      <c r="VQD2" s="525"/>
      <c r="VQE2" s="525"/>
      <c r="VQF2" s="525"/>
      <c r="VQG2" s="525"/>
      <c r="VQH2" s="525"/>
      <c r="VQI2" s="525"/>
      <c r="VQJ2" s="525"/>
      <c r="VQK2" s="525"/>
      <c r="VQL2" s="525"/>
      <c r="VQM2" s="525"/>
      <c r="VQN2" s="525"/>
      <c r="VQO2" s="525"/>
      <c r="VQP2" s="525"/>
      <c r="VQQ2" s="525"/>
      <c r="VQR2" s="525"/>
      <c r="VQS2" s="525"/>
      <c r="VQT2" s="525"/>
      <c r="VQU2" s="525"/>
      <c r="VQV2" s="525"/>
      <c r="VQW2" s="525"/>
      <c r="VQX2" s="525"/>
      <c r="VQY2" s="525"/>
      <c r="VQZ2" s="525"/>
      <c r="VRA2" s="525"/>
      <c r="VRB2" s="525"/>
      <c r="VRC2" s="525"/>
      <c r="VRD2" s="525"/>
      <c r="VRE2" s="525"/>
      <c r="VRF2" s="525"/>
      <c r="VRG2" s="525"/>
      <c r="VRH2" s="525"/>
      <c r="VRI2" s="525"/>
      <c r="VRJ2" s="525"/>
      <c r="VRK2" s="525"/>
      <c r="VRL2" s="525"/>
      <c r="VRM2" s="525"/>
      <c r="VRN2" s="525"/>
      <c r="VRO2" s="525"/>
      <c r="VRP2" s="525"/>
      <c r="VRQ2" s="525"/>
      <c r="VRR2" s="525"/>
      <c r="VRS2" s="525"/>
      <c r="VRT2" s="525"/>
      <c r="VRU2" s="525"/>
      <c r="VRV2" s="525"/>
      <c r="VRW2" s="525"/>
      <c r="VRX2" s="525"/>
      <c r="VRY2" s="525"/>
      <c r="VRZ2" s="525"/>
      <c r="VSA2" s="525"/>
      <c r="VSB2" s="525"/>
      <c r="VSC2" s="525"/>
      <c r="VSD2" s="525"/>
      <c r="VSE2" s="525"/>
      <c r="VSF2" s="525"/>
      <c r="VSG2" s="525"/>
      <c r="VSH2" s="525"/>
      <c r="VSI2" s="525"/>
      <c r="VSJ2" s="525"/>
      <c r="VSK2" s="525"/>
      <c r="VSL2" s="525"/>
      <c r="VSM2" s="525"/>
      <c r="VSN2" s="525"/>
      <c r="VSO2" s="525"/>
      <c r="VSP2" s="525"/>
      <c r="VSQ2" s="525"/>
      <c r="VSR2" s="525"/>
      <c r="VSS2" s="525"/>
      <c r="VST2" s="525"/>
      <c r="VSU2" s="525"/>
      <c r="VSV2" s="525"/>
      <c r="VSW2" s="525"/>
      <c r="VSX2" s="525"/>
      <c r="VSY2" s="525"/>
      <c r="VSZ2" s="525"/>
      <c r="VTA2" s="525"/>
      <c r="VTB2" s="525"/>
      <c r="VTC2" s="525"/>
      <c r="VTD2" s="525"/>
      <c r="VTE2" s="525"/>
      <c r="VTF2" s="525"/>
      <c r="VTG2" s="525"/>
      <c r="VTH2" s="525"/>
      <c r="VTI2" s="525"/>
      <c r="VTJ2" s="525"/>
      <c r="VTK2" s="525"/>
      <c r="VTL2" s="525"/>
      <c r="VTM2" s="525"/>
      <c r="VTN2" s="525"/>
      <c r="VTO2" s="525"/>
      <c r="VTP2" s="525"/>
      <c r="VTQ2" s="525"/>
      <c r="VTR2" s="525"/>
      <c r="VTS2" s="525"/>
      <c r="VTT2" s="525"/>
      <c r="VTU2" s="525"/>
      <c r="VTV2" s="525"/>
      <c r="VTW2" s="525"/>
      <c r="VTX2" s="525"/>
      <c r="VTY2" s="525"/>
      <c r="VTZ2" s="525"/>
      <c r="VUA2" s="525"/>
      <c r="VUB2" s="525"/>
      <c r="VUC2" s="525"/>
      <c r="VUD2" s="525"/>
      <c r="VUE2" s="525"/>
      <c r="VUF2" s="525"/>
      <c r="VUG2" s="525"/>
      <c r="VUH2" s="525"/>
      <c r="VUI2" s="525"/>
      <c r="VUJ2" s="525"/>
      <c r="VUK2" s="525"/>
      <c r="VUL2" s="525"/>
      <c r="VUM2" s="525"/>
      <c r="VUN2" s="525"/>
      <c r="VUO2" s="525"/>
      <c r="VUP2" s="525"/>
      <c r="VUQ2" s="525"/>
      <c r="VUR2" s="525"/>
      <c r="VUS2" s="525"/>
      <c r="VUT2" s="525"/>
      <c r="VUU2" s="525"/>
      <c r="VUV2" s="525"/>
      <c r="VUW2" s="525"/>
      <c r="VUX2" s="525"/>
      <c r="VUY2" s="525"/>
      <c r="VUZ2" s="525"/>
      <c r="VVA2" s="525"/>
      <c r="VVB2" s="525"/>
      <c r="VVC2" s="525"/>
      <c r="VVD2" s="525"/>
      <c r="VVE2" s="525"/>
      <c r="VVF2" s="525"/>
      <c r="VVG2" s="525"/>
      <c r="VVH2" s="525"/>
      <c r="VVI2" s="525"/>
      <c r="VVJ2" s="525"/>
      <c r="VVK2" s="525"/>
      <c r="VVL2" s="525"/>
      <c r="VVM2" s="525"/>
      <c r="VVN2" s="525"/>
      <c r="VVO2" s="525"/>
      <c r="VVP2" s="525"/>
      <c r="VVQ2" s="525"/>
      <c r="VVR2" s="525"/>
      <c r="VVS2" s="525"/>
      <c r="VVT2" s="525"/>
      <c r="VVU2" s="525"/>
      <c r="VVV2" s="525"/>
      <c r="VVW2" s="525"/>
      <c r="VVX2" s="525"/>
      <c r="VVY2" s="525"/>
      <c r="VVZ2" s="525"/>
      <c r="VWA2" s="525"/>
      <c r="VWB2" s="525"/>
      <c r="VWC2" s="525"/>
      <c r="VWD2" s="525"/>
      <c r="VWE2" s="525"/>
      <c r="VWF2" s="525"/>
      <c r="VWG2" s="525"/>
      <c r="VWH2" s="525"/>
      <c r="VWI2" s="525"/>
      <c r="VWJ2" s="525"/>
      <c r="VWK2" s="525"/>
      <c r="VWL2" s="525"/>
      <c r="VWM2" s="525"/>
      <c r="VWN2" s="525"/>
      <c r="VWO2" s="525"/>
      <c r="VWP2" s="525"/>
      <c r="VWQ2" s="525"/>
      <c r="VWR2" s="525"/>
      <c r="VWS2" s="525"/>
      <c r="VWT2" s="525"/>
      <c r="VWU2" s="525"/>
      <c r="VWV2" s="525"/>
      <c r="VWW2" s="525"/>
      <c r="VWX2" s="525"/>
      <c r="VWY2" s="525"/>
      <c r="VWZ2" s="525"/>
      <c r="VXA2" s="525"/>
      <c r="VXB2" s="525"/>
      <c r="VXC2" s="525"/>
      <c r="VXD2" s="525"/>
      <c r="VXE2" s="525"/>
      <c r="VXF2" s="525"/>
      <c r="VXG2" s="525"/>
      <c r="VXH2" s="525"/>
      <c r="VXI2" s="525"/>
      <c r="VXJ2" s="525"/>
      <c r="VXK2" s="525"/>
      <c r="VXL2" s="525"/>
      <c r="VXM2" s="525"/>
      <c r="VXN2" s="525"/>
      <c r="VXO2" s="525"/>
      <c r="VXP2" s="525"/>
      <c r="VXQ2" s="525"/>
      <c r="VXR2" s="525"/>
      <c r="VXS2" s="525"/>
      <c r="VXT2" s="525"/>
      <c r="VXU2" s="525"/>
      <c r="VXV2" s="525"/>
      <c r="VXW2" s="525"/>
      <c r="VXX2" s="525"/>
      <c r="VXY2" s="525"/>
      <c r="VXZ2" s="525"/>
      <c r="VYA2" s="525"/>
      <c r="VYB2" s="525"/>
      <c r="VYC2" s="525"/>
      <c r="VYD2" s="525"/>
      <c r="VYE2" s="525"/>
      <c r="VYF2" s="525"/>
      <c r="VYG2" s="525"/>
      <c r="VYH2" s="525"/>
      <c r="VYI2" s="525"/>
      <c r="VYJ2" s="525"/>
      <c r="VYK2" s="525"/>
      <c r="VYL2" s="525"/>
      <c r="VYM2" s="525"/>
      <c r="VYN2" s="525"/>
      <c r="VYO2" s="525"/>
      <c r="VYP2" s="525"/>
      <c r="VYQ2" s="525"/>
      <c r="VYR2" s="525"/>
      <c r="VYS2" s="525"/>
      <c r="VYT2" s="525"/>
      <c r="VYU2" s="525"/>
      <c r="VYV2" s="525"/>
      <c r="VYW2" s="525"/>
      <c r="VYX2" s="525"/>
      <c r="VYY2" s="525"/>
      <c r="VYZ2" s="525"/>
      <c r="VZA2" s="525"/>
      <c r="VZB2" s="525"/>
      <c r="VZC2" s="525"/>
      <c r="VZD2" s="525"/>
      <c r="VZE2" s="525"/>
      <c r="VZF2" s="525"/>
      <c r="VZG2" s="525"/>
      <c r="VZH2" s="525"/>
      <c r="VZI2" s="525"/>
      <c r="VZJ2" s="525"/>
      <c r="VZK2" s="525"/>
      <c r="VZL2" s="525"/>
      <c r="VZM2" s="525"/>
      <c r="VZN2" s="525"/>
      <c r="VZO2" s="525"/>
      <c r="VZP2" s="525"/>
      <c r="VZQ2" s="525"/>
      <c r="VZR2" s="525"/>
      <c r="VZS2" s="525"/>
      <c r="VZT2" s="525"/>
      <c r="VZU2" s="525"/>
      <c r="VZV2" s="525"/>
      <c r="VZW2" s="525"/>
      <c r="VZX2" s="525"/>
      <c r="VZY2" s="525"/>
      <c r="VZZ2" s="525"/>
      <c r="WAA2" s="525"/>
      <c r="WAB2" s="525"/>
      <c r="WAC2" s="525"/>
      <c r="WAD2" s="525"/>
      <c r="WAE2" s="525"/>
      <c r="WAF2" s="525"/>
      <c r="WAG2" s="525"/>
      <c r="WAH2" s="525"/>
      <c r="WAI2" s="525"/>
      <c r="WAJ2" s="525"/>
      <c r="WAK2" s="525"/>
      <c r="WAL2" s="525"/>
      <c r="WAM2" s="525"/>
      <c r="WAN2" s="525"/>
      <c r="WAO2" s="525"/>
      <c r="WAP2" s="525"/>
      <c r="WAQ2" s="525"/>
      <c r="WAR2" s="525"/>
      <c r="WAS2" s="525"/>
      <c r="WAT2" s="525"/>
      <c r="WAU2" s="525"/>
      <c r="WAV2" s="525"/>
      <c r="WAW2" s="525"/>
      <c r="WAX2" s="525"/>
      <c r="WAY2" s="525"/>
      <c r="WAZ2" s="525"/>
      <c r="WBA2" s="525"/>
      <c r="WBB2" s="525"/>
      <c r="WBC2" s="525"/>
      <c r="WBD2" s="525"/>
      <c r="WBE2" s="525"/>
      <c r="WBF2" s="525"/>
      <c r="WBG2" s="525"/>
      <c r="WBH2" s="525"/>
      <c r="WBI2" s="525"/>
      <c r="WBJ2" s="525"/>
      <c r="WBK2" s="525"/>
      <c r="WBL2" s="525"/>
      <c r="WBM2" s="525"/>
      <c r="WBN2" s="525"/>
      <c r="WBO2" s="525"/>
      <c r="WBP2" s="525"/>
      <c r="WBQ2" s="525"/>
      <c r="WBR2" s="525"/>
      <c r="WBS2" s="525"/>
      <c r="WBT2" s="525"/>
      <c r="WBU2" s="525"/>
      <c r="WBV2" s="525"/>
      <c r="WBW2" s="525"/>
      <c r="WBX2" s="525"/>
      <c r="WBY2" s="525"/>
      <c r="WBZ2" s="525"/>
      <c r="WCA2" s="525"/>
      <c r="WCB2" s="525"/>
      <c r="WCC2" s="525"/>
      <c r="WCD2" s="525"/>
      <c r="WCE2" s="525"/>
      <c r="WCF2" s="525"/>
      <c r="WCG2" s="525"/>
      <c r="WCH2" s="525"/>
      <c r="WCI2" s="525"/>
      <c r="WCJ2" s="525"/>
      <c r="WCK2" s="525"/>
      <c r="WCL2" s="525"/>
      <c r="WCM2" s="525"/>
      <c r="WCN2" s="525"/>
      <c r="WCO2" s="525"/>
      <c r="WCP2" s="525"/>
      <c r="WCQ2" s="525"/>
      <c r="WCR2" s="525"/>
      <c r="WCS2" s="525"/>
      <c r="WCT2" s="525"/>
      <c r="WCU2" s="525"/>
      <c r="WCV2" s="525"/>
      <c r="WCW2" s="525"/>
      <c r="WCX2" s="525"/>
      <c r="WCY2" s="525"/>
      <c r="WCZ2" s="525"/>
      <c r="WDA2" s="525"/>
      <c r="WDB2" s="525"/>
      <c r="WDC2" s="525"/>
      <c r="WDD2" s="525"/>
      <c r="WDE2" s="525"/>
      <c r="WDF2" s="525"/>
      <c r="WDG2" s="525"/>
      <c r="WDH2" s="525"/>
      <c r="WDI2" s="525"/>
      <c r="WDJ2" s="525"/>
      <c r="WDK2" s="525"/>
      <c r="WDL2" s="525"/>
      <c r="WDM2" s="525"/>
      <c r="WDN2" s="525"/>
      <c r="WDO2" s="525"/>
      <c r="WDP2" s="525"/>
      <c r="WDQ2" s="525"/>
      <c r="WDR2" s="525"/>
      <c r="WDS2" s="525"/>
      <c r="WDT2" s="525"/>
      <c r="WDU2" s="525"/>
      <c r="WDV2" s="525"/>
      <c r="WDW2" s="525"/>
      <c r="WDX2" s="525"/>
      <c r="WDY2" s="525"/>
      <c r="WDZ2" s="525"/>
      <c r="WEA2" s="525"/>
      <c r="WEB2" s="525"/>
      <c r="WEC2" s="525"/>
      <c r="WED2" s="525"/>
      <c r="WEE2" s="525"/>
      <c r="WEF2" s="525"/>
      <c r="WEG2" s="525"/>
      <c r="WEH2" s="525"/>
      <c r="WEI2" s="525"/>
      <c r="WEJ2" s="525"/>
      <c r="WEK2" s="525"/>
      <c r="WEL2" s="525"/>
      <c r="WEM2" s="525"/>
      <c r="WEN2" s="525"/>
      <c r="WEO2" s="525"/>
      <c r="WEP2" s="525"/>
      <c r="WEQ2" s="525"/>
      <c r="WER2" s="525"/>
      <c r="WES2" s="525"/>
      <c r="WET2" s="525"/>
      <c r="WEU2" s="525"/>
      <c r="WEV2" s="525"/>
      <c r="WEW2" s="525"/>
      <c r="WEX2" s="525"/>
      <c r="WEY2" s="525"/>
      <c r="WEZ2" s="525"/>
      <c r="WFA2" s="525"/>
      <c r="WFB2" s="525"/>
      <c r="WFC2" s="525"/>
      <c r="WFD2" s="525"/>
      <c r="WFE2" s="525"/>
      <c r="WFF2" s="525"/>
      <c r="WFG2" s="525"/>
      <c r="WFH2" s="525"/>
      <c r="WFI2" s="525"/>
      <c r="WFJ2" s="525"/>
      <c r="WFK2" s="525"/>
      <c r="WFL2" s="525"/>
      <c r="WFM2" s="525"/>
      <c r="WFN2" s="525"/>
      <c r="WFO2" s="525"/>
      <c r="WFP2" s="525"/>
      <c r="WFQ2" s="525"/>
      <c r="WFR2" s="525"/>
      <c r="WFS2" s="525"/>
      <c r="WFT2" s="525"/>
      <c r="WFU2" s="525"/>
      <c r="WFV2" s="525"/>
      <c r="WFW2" s="525"/>
      <c r="WFX2" s="525"/>
      <c r="WFY2" s="525"/>
      <c r="WFZ2" s="525"/>
      <c r="WGA2" s="525"/>
      <c r="WGB2" s="525"/>
      <c r="WGC2" s="525"/>
      <c r="WGD2" s="525"/>
      <c r="WGE2" s="525"/>
      <c r="WGF2" s="525"/>
      <c r="WGG2" s="525"/>
      <c r="WGH2" s="525"/>
      <c r="WGI2" s="525"/>
      <c r="WGJ2" s="525"/>
      <c r="WGK2" s="525"/>
      <c r="WGL2" s="525"/>
      <c r="WGM2" s="525"/>
      <c r="WGN2" s="525"/>
      <c r="WGO2" s="525"/>
      <c r="WGP2" s="525"/>
      <c r="WGQ2" s="525"/>
      <c r="WGR2" s="525"/>
      <c r="WGS2" s="525"/>
      <c r="WGT2" s="525"/>
      <c r="WGU2" s="525"/>
      <c r="WGV2" s="525"/>
      <c r="WGW2" s="525"/>
      <c r="WGX2" s="525"/>
      <c r="WGY2" s="525"/>
      <c r="WGZ2" s="525"/>
      <c r="WHA2" s="525"/>
      <c r="WHB2" s="525"/>
      <c r="WHC2" s="525"/>
      <c r="WHD2" s="525"/>
      <c r="WHE2" s="525"/>
      <c r="WHF2" s="525"/>
      <c r="WHG2" s="525"/>
      <c r="WHH2" s="525"/>
      <c r="WHI2" s="525"/>
      <c r="WHJ2" s="525"/>
      <c r="WHK2" s="525"/>
      <c r="WHL2" s="525"/>
      <c r="WHM2" s="525"/>
      <c r="WHN2" s="525"/>
      <c r="WHO2" s="525"/>
      <c r="WHP2" s="525"/>
      <c r="WHQ2" s="525"/>
      <c r="WHR2" s="525"/>
      <c r="WHS2" s="525"/>
      <c r="WHT2" s="525"/>
      <c r="WHU2" s="525"/>
      <c r="WHV2" s="525"/>
      <c r="WHW2" s="525"/>
      <c r="WHX2" s="525"/>
      <c r="WHY2" s="525"/>
      <c r="WHZ2" s="525"/>
      <c r="WIA2" s="525"/>
      <c r="WIB2" s="525"/>
      <c r="WIC2" s="525"/>
      <c r="WID2" s="525"/>
      <c r="WIE2" s="525"/>
      <c r="WIF2" s="525"/>
      <c r="WIG2" s="525"/>
      <c r="WIH2" s="525"/>
      <c r="WII2" s="525"/>
      <c r="WIJ2" s="525"/>
      <c r="WIK2" s="525"/>
      <c r="WIL2" s="525"/>
      <c r="WIM2" s="525"/>
      <c r="WIN2" s="525"/>
      <c r="WIO2" s="525"/>
      <c r="WIP2" s="525"/>
      <c r="WIQ2" s="525"/>
      <c r="WIR2" s="525"/>
      <c r="WIS2" s="525"/>
      <c r="WIT2" s="525"/>
      <c r="WIU2" s="525"/>
      <c r="WIV2" s="525"/>
      <c r="WIW2" s="525"/>
      <c r="WIX2" s="525"/>
      <c r="WIY2" s="525"/>
      <c r="WIZ2" s="525"/>
      <c r="WJA2" s="525"/>
      <c r="WJB2" s="525"/>
      <c r="WJC2" s="525"/>
      <c r="WJD2" s="525"/>
      <c r="WJE2" s="525"/>
      <c r="WJF2" s="525"/>
      <c r="WJG2" s="525"/>
      <c r="WJH2" s="525"/>
      <c r="WJI2" s="525"/>
      <c r="WJJ2" s="525"/>
      <c r="WJK2" s="525"/>
      <c r="WJL2" s="525"/>
      <c r="WJM2" s="525"/>
      <c r="WJN2" s="525"/>
      <c r="WJO2" s="525"/>
      <c r="WJP2" s="525"/>
      <c r="WJQ2" s="525"/>
      <c r="WJR2" s="525"/>
      <c r="WJS2" s="525"/>
      <c r="WJT2" s="525"/>
      <c r="WJU2" s="525"/>
      <c r="WJV2" s="525"/>
      <c r="WJW2" s="525"/>
      <c r="WJX2" s="525"/>
      <c r="WJY2" s="525"/>
      <c r="WJZ2" s="525"/>
      <c r="WKA2" s="525"/>
      <c r="WKB2" s="525"/>
      <c r="WKC2" s="525"/>
      <c r="WKD2" s="525"/>
      <c r="WKE2" s="525"/>
      <c r="WKF2" s="525"/>
      <c r="WKG2" s="525"/>
      <c r="WKH2" s="525"/>
      <c r="WKI2" s="525"/>
      <c r="WKJ2" s="525"/>
      <c r="WKK2" s="525"/>
      <c r="WKL2" s="525"/>
      <c r="WKM2" s="525"/>
      <c r="WKN2" s="525"/>
      <c r="WKO2" s="525"/>
      <c r="WKP2" s="525"/>
      <c r="WKQ2" s="525"/>
      <c r="WKR2" s="525"/>
      <c r="WKS2" s="525"/>
      <c r="WKT2" s="525"/>
      <c r="WKU2" s="525"/>
      <c r="WKV2" s="525"/>
      <c r="WKW2" s="525"/>
      <c r="WKX2" s="525"/>
      <c r="WKY2" s="525"/>
      <c r="WKZ2" s="525"/>
      <c r="WLA2" s="525"/>
      <c r="WLB2" s="525"/>
      <c r="WLC2" s="525"/>
      <c r="WLD2" s="525"/>
      <c r="WLE2" s="525"/>
      <c r="WLF2" s="525"/>
      <c r="WLG2" s="525"/>
      <c r="WLH2" s="525"/>
      <c r="WLI2" s="525"/>
      <c r="WLJ2" s="525"/>
      <c r="WLK2" s="525"/>
      <c r="WLL2" s="525"/>
      <c r="WLM2" s="525"/>
      <c r="WLN2" s="525"/>
      <c r="WLO2" s="525"/>
      <c r="WLP2" s="525"/>
      <c r="WLQ2" s="525"/>
      <c r="WLR2" s="525"/>
      <c r="WLS2" s="525"/>
      <c r="WLT2" s="525"/>
      <c r="WLU2" s="525"/>
      <c r="WLV2" s="525"/>
      <c r="WLW2" s="525"/>
      <c r="WLX2" s="525"/>
      <c r="WLY2" s="525"/>
      <c r="WLZ2" s="525"/>
      <c r="WMA2" s="525"/>
      <c r="WMB2" s="525"/>
      <c r="WMC2" s="525"/>
      <c r="WMD2" s="525"/>
      <c r="WME2" s="525"/>
      <c r="WMF2" s="525"/>
      <c r="WMG2" s="525"/>
      <c r="WMH2" s="525"/>
      <c r="WMI2" s="525"/>
      <c r="WMJ2" s="525"/>
      <c r="WMK2" s="525"/>
      <c r="WML2" s="525"/>
      <c r="WMM2" s="525"/>
      <c r="WMN2" s="525"/>
      <c r="WMO2" s="525"/>
      <c r="WMP2" s="525"/>
      <c r="WMQ2" s="525"/>
      <c r="WMR2" s="525"/>
      <c r="WMS2" s="525"/>
      <c r="WMT2" s="525"/>
      <c r="WMU2" s="525"/>
      <c r="WMV2" s="525"/>
      <c r="WMW2" s="525"/>
      <c r="WMX2" s="525"/>
      <c r="WMY2" s="525"/>
      <c r="WMZ2" s="525"/>
      <c r="WNA2" s="525"/>
      <c r="WNB2" s="525"/>
      <c r="WNC2" s="525"/>
      <c r="WND2" s="525"/>
      <c r="WNE2" s="525"/>
      <c r="WNF2" s="525"/>
      <c r="WNG2" s="525"/>
      <c r="WNH2" s="525"/>
      <c r="WNI2" s="525"/>
      <c r="WNJ2" s="525"/>
      <c r="WNK2" s="525"/>
      <c r="WNL2" s="525"/>
      <c r="WNM2" s="525"/>
      <c r="WNN2" s="525"/>
      <c r="WNO2" s="525"/>
      <c r="WNP2" s="525"/>
      <c r="WNQ2" s="525"/>
      <c r="WNR2" s="525"/>
      <c r="WNS2" s="525"/>
      <c r="WNT2" s="525"/>
      <c r="WNU2" s="525"/>
      <c r="WNV2" s="525"/>
      <c r="WNW2" s="525"/>
      <c r="WNX2" s="525"/>
      <c r="WNY2" s="525"/>
      <c r="WNZ2" s="525"/>
      <c r="WOA2" s="525"/>
      <c r="WOB2" s="525"/>
      <c r="WOC2" s="525"/>
      <c r="WOD2" s="525"/>
      <c r="WOE2" s="525"/>
      <c r="WOF2" s="525"/>
      <c r="WOG2" s="525"/>
      <c r="WOH2" s="525"/>
      <c r="WOI2" s="525"/>
      <c r="WOJ2" s="525"/>
      <c r="WOK2" s="525"/>
      <c r="WOL2" s="525"/>
      <c r="WOM2" s="525"/>
      <c r="WON2" s="525"/>
      <c r="WOO2" s="525"/>
      <c r="WOP2" s="525"/>
      <c r="WOQ2" s="525"/>
      <c r="WOR2" s="525"/>
      <c r="WOS2" s="525"/>
      <c r="WOT2" s="525"/>
      <c r="WOU2" s="525"/>
      <c r="WOV2" s="525"/>
      <c r="WOW2" s="525"/>
      <c r="WOX2" s="525"/>
      <c r="WOY2" s="525"/>
      <c r="WOZ2" s="525"/>
      <c r="WPA2" s="525"/>
      <c r="WPB2" s="525"/>
      <c r="WPC2" s="525"/>
      <c r="WPD2" s="525"/>
      <c r="WPE2" s="525"/>
      <c r="WPF2" s="525"/>
      <c r="WPG2" s="525"/>
      <c r="WPH2" s="525"/>
      <c r="WPI2" s="525"/>
      <c r="WPJ2" s="525"/>
      <c r="WPK2" s="525"/>
      <c r="WPL2" s="525"/>
      <c r="WPM2" s="525"/>
      <c r="WPN2" s="525"/>
      <c r="WPO2" s="525"/>
      <c r="WPP2" s="525"/>
      <c r="WPQ2" s="525"/>
      <c r="WPR2" s="525"/>
      <c r="WPS2" s="525"/>
      <c r="WPT2" s="525"/>
      <c r="WPU2" s="525"/>
      <c r="WPV2" s="525"/>
      <c r="WPW2" s="525"/>
      <c r="WPX2" s="525"/>
      <c r="WPY2" s="525"/>
      <c r="WPZ2" s="525"/>
      <c r="WQA2" s="525"/>
      <c r="WQB2" s="525"/>
      <c r="WQC2" s="525"/>
      <c r="WQD2" s="525"/>
      <c r="WQE2" s="525"/>
      <c r="WQF2" s="525"/>
      <c r="WQG2" s="525"/>
      <c r="WQH2" s="525"/>
      <c r="WQI2" s="525"/>
      <c r="WQJ2" s="525"/>
      <c r="WQK2" s="525"/>
      <c r="WQL2" s="525"/>
      <c r="WQM2" s="525"/>
      <c r="WQN2" s="525"/>
      <c r="WQO2" s="525"/>
      <c r="WQP2" s="525"/>
      <c r="WQQ2" s="525"/>
      <c r="WQR2" s="525"/>
      <c r="WQS2" s="525"/>
      <c r="WQT2" s="525"/>
      <c r="WQU2" s="525"/>
      <c r="WQV2" s="525"/>
      <c r="WQW2" s="525"/>
      <c r="WQX2" s="525"/>
      <c r="WQY2" s="525"/>
      <c r="WQZ2" s="525"/>
      <c r="WRA2" s="525"/>
      <c r="WRB2" s="525"/>
      <c r="WRC2" s="525"/>
      <c r="WRD2" s="525"/>
      <c r="WRE2" s="525"/>
      <c r="WRF2" s="525"/>
      <c r="WRG2" s="525"/>
      <c r="WRH2" s="525"/>
      <c r="WRI2" s="525"/>
      <c r="WRJ2" s="525"/>
      <c r="WRK2" s="525"/>
      <c r="WRL2" s="525"/>
      <c r="WRM2" s="525"/>
      <c r="WRN2" s="525"/>
      <c r="WRO2" s="525"/>
      <c r="WRP2" s="525"/>
      <c r="WRQ2" s="525"/>
      <c r="WRR2" s="525"/>
      <c r="WRS2" s="525"/>
      <c r="WRT2" s="525"/>
      <c r="WRU2" s="525"/>
      <c r="WRV2" s="525"/>
      <c r="WRW2" s="525"/>
      <c r="WRX2" s="525"/>
      <c r="WRY2" s="525"/>
      <c r="WRZ2" s="525"/>
      <c r="WSA2" s="525"/>
      <c r="WSB2" s="525"/>
      <c r="WSC2" s="525"/>
      <c r="WSD2" s="525"/>
      <c r="WSE2" s="525"/>
      <c r="WSF2" s="525"/>
      <c r="WSG2" s="525"/>
      <c r="WSH2" s="525"/>
      <c r="WSI2" s="525"/>
      <c r="WSJ2" s="525"/>
      <c r="WSK2" s="525"/>
      <c r="WSL2" s="525"/>
      <c r="WSM2" s="525"/>
      <c r="WSN2" s="525"/>
      <c r="WSO2" s="525"/>
      <c r="WSP2" s="525"/>
      <c r="WSQ2" s="525"/>
      <c r="WSR2" s="525"/>
      <c r="WSS2" s="525"/>
      <c r="WST2" s="525"/>
      <c r="WSU2" s="525"/>
      <c r="WSV2" s="525"/>
      <c r="WSW2" s="525"/>
      <c r="WSX2" s="525"/>
      <c r="WSY2" s="525"/>
      <c r="WSZ2" s="525"/>
      <c r="WTA2" s="525"/>
      <c r="WTB2" s="525"/>
      <c r="WTC2" s="525"/>
      <c r="WTD2" s="525"/>
      <c r="WTE2" s="525"/>
      <c r="WTF2" s="525"/>
      <c r="WTG2" s="525"/>
      <c r="WTH2" s="525"/>
      <c r="WTI2" s="525"/>
      <c r="WTJ2" s="525"/>
      <c r="WTK2" s="525"/>
      <c r="WTL2" s="525"/>
      <c r="WTM2" s="525"/>
      <c r="WTN2" s="525"/>
      <c r="WTO2" s="525"/>
      <c r="WTP2" s="525"/>
      <c r="WTQ2" s="525"/>
      <c r="WTR2" s="525"/>
      <c r="WTS2" s="525"/>
      <c r="WTT2" s="525"/>
      <c r="WTU2" s="525"/>
      <c r="WTV2" s="525"/>
      <c r="WTW2" s="525"/>
      <c r="WTX2" s="525"/>
      <c r="WTY2" s="525"/>
      <c r="WTZ2" s="525"/>
      <c r="WUA2" s="525"/>
      <c r="WUB2" s="525"/>
      <c r="WUC2" s="525"/>
      <c r="WUD2" s="525"/>
      <c r="WUE2" s="525"/>
      <c r="WUF2" s="525"/>
      <c r="WUG2" s="525"/>
      <c r="WUH2" s="525"/>
      <c r="WUI2" s="525"/>
      <c r="WUJ2" s="525"/>
      <c r="WUK2" s="525"/>
      <c r="WUL2" s="525"/>
      <c r="WUM2" s="525"/>
      <c r="WUN2" s="525"/>
      <c r="WUO2" s="525"/>
      <c r="WUP2" s="525"/>
      <c r="WUQ2" s="525"/>
      <c r="WUR2" s="525"/>
      <c r="WUS2" s="525"/>
      <c r="WUT2" s="525"/>
      <c r="WUU2" s="525"/>
      <c r="WUV2" s="525"/>
      <c r="WUW2" s="525"/>
      <c r="WUX2" s="525"/>
      <c r="WUY2" s="525"/>
      <c r="WUZ2" s="525"/>
      <c r="WVA2" s="525"/>
      <c r="WVB2" s="525"/>
      <c r="WVC2" s="525"/>
      <c r="WVD2" s="525"/>
      <c r="WVE2" s="525"/>
      <c r="WVF2" s="525"/>
      <c r="WVG2" s="525"/>
      <c r="WVH2" s="525"/>
      <c r="WVI2" s="525"/>
      <c r="WVJ2" s="525"/>
      <c r="WVK2" s="525"/>
      <c r="WVL2" s="525"/>
      <c r="WVM2" s="525"/>
      <c r="WVN2" s="525"/>
      <c r="WVO2" s="525"/>
      <c r="WVP2" s="525"/>
      <c r="WVQ2" s="525"/>
      <c r="WVR2" s="525"/>
      <c r="WVS2" s="525"/>
      <c r="WVT2" s="525"/>
      <c r="WVU2" s="525"/>
      <c r="WVV2" s="525"/>
      <c r="WVW2" s="525"/>
      <c r="WVX2" s="525"/>
      <c r="WVY2" s="525"/>
      <c r="WVZ2" s="525"/>
      <c r="WWA2" s="525"/>
      <c r="WWB2" s="525"/>
      <c r="WWC2" s="525"/>
      <c r="WWD2" s="525"/>
      <c r="WWE2" s="525"/>
      <c r="WWF2" s="525"/>
      <c r="WWG2" s="525"/>
      <c r="WWH2" s="525"/>
      <c r="WWI2" s="525"/>
      <c r="WWJ2" s="525"/>
      <c r="WWK2" s="525"/>
      <c r="WWL2" s="525"/>
      <c r="WWM2" s="525"/>
      <c r="WWN2" s="525"/>
      <c r="WWO2" s="525"/>
      <c r="WWP2" s="525"/>
      <c r="WWQ2" s="525"/>
      <c r="WWR2" s="525"/>
      <c r="WWS2" s="525"/>
      <c r="WWT2" s="525"/>
      <c r="WWU2" s="525"/>
      <c r="WWV2" s="525"/>
      <c r="WWW2" s="525"/>
      <c r="WWX2" s="525"/>
      <c r="WWY2" s="525"/>
      <c r="WWZ2" s="525"/>
      <c r="WXA2" s="525"/>
      <c r="WXB2" s="525"/>
      <c r="WXC2" s="525"/>
      <c r="WXD2" s="525"/>
      <c r="WXE2" s="525"/>
      <c r="WXF2" s="525"/>
      <c r="WXG2" s="525"/>
      <c r="WXH2" s="525"/>
      <c r="WXI2" s="525"/>
      <c r="WXJ2" s="525"/>
      <c r="WXK2" s="525"/>
      <c r="WXL2" s="525"/>
      <c r="WXM2" s="525"/>
      <c r="WXN2" s="525"/>
      <c r="WXO2" s="525"/>
      <c r="WXP2" s="525"/>
      <c r="WXQ2" s="525"/>
      <c r="WXR2" s="525"/>
      <c r="WXS2" s="525"/>
      <c r="WXT2" s="525"/>
      <c r="WXU2" s="525"/>
      <c r="WXV2" s="525"/>
      <c r="WXW2" s="525"/>
      <c r="WXX2" s="525"/>
      <c r="WXY2" s="525"/>
      <c r="WXZ2" s="525"/>
      <c r="WYA2" s="525"/>
      <c r="WYB2" s="525"/>
      <c r="WYC2" s="525"/>
      <c r="WYD2" s="525"/>
      <c r="WYE2" s="525"/>
      <c r="WYF2" s="525"/>
      <c r="WYG2" s="525"/>
      <c r="WYH2" s="525"/>
      <c r="WYI2" s="525"/>
      <c r="WYJ2" s="525"/>
      <c r="WYK2" s="525"/>
      <c r="WYL2" s="525"/>
      <c r="WYM2" s="525"/>
      <c r="WYN2" s="525"/>
      <c r="WYO2" s="525"/>
      <c r="WYP2" s="525"/>
      <c r="WYQ2" s="525"/>
      <c r="WYR2" s="525"/>
      <c r="WYS2" s="525"/>
      <c r="WYT2" s="525"/>
      <c r="WYU2" s="525"/>
      <c r="WYV2" s="525"/>
      <c r="WYW2" s="525"/>
      <c r="WYX2" s="525"/>
      <c r="WYY2" s="525"/>
      <c r="WYZ2" s="525"/>
      <c r="WZA2" s="525"/>
      <c r="WZB2" s="525"/>
      <c r="WZC2" s="525"/>
      <c r="WZD2" s="525"/>
      <c r="WZE2" s="525"/>
      <c r="WZF2" s="525"/>
      <c r="WZG2" s="525"/>
      <c r="WZH2" s="525"/>
      <c r="WZI2" s="525"/>
      <c r="WZJ2" s="525"/>
      <c r="WZK2" s="525"/>
      <c r="WZL2" s="525"/>
      <c r="WZM2" s="525"/>
      <c r="WZN2" s="525"/>
      <c r="WZO2" s="525"/>
      <c r="WZP2" s="525"/>
      <c r="WZQ2" s="525"/>
      <c r="WZR2" s="525"/>
      <c r="WZS2" s="525"/>
      <c r="WZT2" s="525"/>
      <c r="WZU2" s="525"/>
      <c r="WZV2" s="525"/>
      <c r="WZW2" s="525"/>
      <c r="WZX2" s="525"/>
      <c r="WZY2" s="525"/>
      <c r="WZZ2" s="525"/>
      <c r="XAA2" s="525"/>
      <c r="XAB2" s="525"/>
      <c r="XAC2" s="525"/>
      <c r="XAD2" s="525"/>
      <c r="XAE2" s="525"/>
      <c r="XAF2" s="525"/>
      <c r="XAG2" s="525"/>
      <c r="XAH2" s="525"/>
      <c r="XAI2" s="525"/>
      <c r="XAJ2" s="525"/>
      <c r="XAK2" s="525"/>
      <c r="XAL2" s="525"/>
      <c r="XAM2" s="525"/>
      <c r="XAN2" s="525"/>
      <c r="XAO2" s="525"/>
      <c r="XAP2" s="525"/>
      <c r="XAQ2" s="525"/>
      <c r="XAR2" s="525"/>
      <c r="XAS2" s="525"/>
      <c r="XAT2" s="525"/>
      <c r="XAU2" s="525"/>
      <c r="XAV2" s="525"/>
      <c r="XAW2" s="525"/>
      <c r="XAX2" s="525"/>
      <c r="XAY2" s="525"/>
      <c r="XAZ2" s="525"/>
      <c r="XBA2" s="525"/>
      <c r="XBB2" s="525"/>
      <c r="XBC2" s="525"/>
      <c r="XBD2" s="525"/>
      <c r="XBE2" s="525"/>
      <c r="XBF2" s="525"/>
      <c r="XBG2" s="525"/>
      <c r="XBH2" s="525"/>
      <c r="XBI2" s="525"/>
      <c r="XBJ2" s="525"/>
      <c r="XBK2" s="525"/>
      <c r="XBL2" s="525"/>
      <c r="XBM2" s="525"/>
      <c r="XBN2" s="525"/>
      <c r="XBO2" s="525"/>
      <c r="XBP2" s="525"/>
      <c r="XBQ2" s="525"/>
      <c r="XBR2" s="525"/>
      <c r="XBS2" s="525"/>
      <c r="XBT2" s="525"/>
      <c r="XBU2" s="525"/>
      <c r="XBV2" s="525"/>
      <c r="XBW2" s="525"/>
      <c r="XBX2" s="525"/>
      <c r="XBY2" s="525"/>
      <c r="XBZ2" s="525"/>
      <c r="XCA2" s="525"/>
      <c r="XCB2" s="525"/>
      <c r="XCC2" s="525"/>
      <c r="XCD2" s="525"/>
      <c r="XCE2" s="525"/>
      <c r="XCF2" s="525"/>
      <c r="XCG2" s="525"/>
      <c r="XCH2" s="525"/>
      <c r="XCI2" s="525"/>
      <c r="XCJ2" s="525"/>
      <c r="XCK2" s="525"/>
      <c r="XCL2" s="525"/>
      <c r="XCM2" s="525"/>
      <c r="XCN2" s="525"/>
      <c r="XCO2" s="525"/>
      <c r="XCP2" s="525"/>
      <c r="XCQ2" s="525"/>
      <c r="XCR2" s="525"/>
      <c r="XCS2" s="525"/>
      <c r="XCT2" s="525"/>
      <c r="XCU2" s="525"/>
      <c r="XCV2" s="525"/>
      <c r="XCW2" s="525"/>
      <c r="XCX2" s="525"/>
      <c r="XCY2" s="525"/>
      <c r="XCZ2" s="525"/>
      <c r="XDA2" s="525"/>
      <c r="XDB2" s="525"/>
      <c r="XDC2" s="525"/>
      <c r="XDD2" s="525"/>
      <c r="XDE2" s="525"/>
      <c r="XDF2" s="525"/>
      <c r="XDG2" s="525"/>
      <c r="XDH2" s="525"/>
      <c r="XDI2" s="525"/>
      <c r="XDJ2" s="525"/>
      <c r="XDK2" s="525"/>
      <c r="XDL2" s="525"/>
      <c r="XDM2" s="525"/>
      <c r="XDN2" s="525"/>
      <c r="XDO2" s="525"/>
      <c r="XDP2" s="525"/>
      <c r="XDQ2" s="525"/>
      <c r="XDR2" s="525"/>
      <c r="XDS2" s="525"/>
      <c r="XDT2" s="525"/>
      <c r="XDU2" s="525"/>
      <c r="XDV2" s="525"/>
      <c r="XDW2" s="525"/>
      <c r="XDX2" s="525"/>
      <c r="XDY2" s="525"/>
      <c r="XDZ2" s="525"/>
      <c r="XEA2" s="525"/>
      <c r="XEB2" s="525"/>
      <c r="XEC2" s="525"/>
      <c r="XED2" s="525"/>
      <c r="XEE2" s="525"/>
      <c r="XEF2" s="525"/>
      <c r="XEG2" s="525"/>
      <c r="XEH2" s="525"/>
      <c r="XEI2" s="525"/>
      <c r="XEJ2" s="525"/>
      <c r="XEK2" s="525"/>
      <c r="XEL2" s="525"/>
      <c r="XEM2" s="525"/>
      <c r="XEN2" s="525"/>
      <c r="XEO2" s="525"/>
      <c r="XEP2" s="525"/>
      <c r="XEQ2" s="525"/>
      <c r="XER2" s="525"/>
      <c r="XES2" s="525"/>
      <c r="XET2" s="525"/>
      <c r="XEU2" s="525"/>
      <c r="XEV2" s="525"/>
      <c r="XEW2" s="525"/>
      <c r="XEX2" s="525"/>
      <c r="XEY2" s="525"/>
      <c r="XEZ2" s="525"/>
      <c r="XFA2" s="525"/>
      <c r="XFB2" s="525"/>
      <c r="XFC2" s="525"/>
      <c r="XFD2" s="525"/>
    </row>
    <row r="3" spans="1:16384">
      <c r="A3" s="525" t="s">
        <v>512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525"/>
      <c r="BG3" s="525"/>
      <c r="BH3" s="525"/>
      <c r="BI3" s="525"/>
      <c r="BJ3" s="525"/>
      <c r="BK3" s="525"/>
      <c r="BL3" s="525"/>
      <c r="BM3" s="525"/>
      <c r="BN3" s="525"/>
      <c r="BO3" s="525"/>
      <c r="BP3" s="525"/>
      <c r="BQ3" s="525"/>
      <c r="BR3" s="525"/>
      <c r="BS3" s="525"/>
      <c r="BT3" s="525"/>
      <c r="BU3" s="525"/>
      <c r="BV3" s="525"/>
      <c r="BW3" s="525"/>
      <c r="BX3" s="525"/>
      <c r="BY3" s="525"/>
      <c r="BZ3" s="525"/>
      <c r="CA3" s="525"/>
      <c r="CB3" s="525"/>
      <c r="CC3" s="525"/>
      <c r="CD3" s="525"/>
      <c r="CE3" s="525"/>
      <c r="CF3" s="525"/>
      <c r="CG3" s="525"/>
      <c r="CH3" s="525"/>
      <c r="CI3" s="525"/>
      <c r="CJ3" s="525"/>
      <c r="CK3" s="525"/>
      <c r="CL3" s="525"/>
      <c r="CM3" s="525"/>
      <c r="CN3" s="525"/>
      <c r="CO3" s="525"/>
      <c r="CP3" s="525"/>
      <c r="CQ3" s="525"/>
      <c r="CR3" s="525"/>
      <c r="CS3" s="525"/>
      <c r="CT3" s="525"/>
      <c r="CU3" s="525"/>
      <c r="CV3" s="525"/>
      <c r="CW3" s="525"/>
      <c r="CX3" s="525"/>
      <c r="CY3" s="525"/>
      <c r="CZ3" s="525"/>
      <c r="DA3" s="525"/>
      <c r="DB3" s="525"/>
      <c r="DC3" s="525"/>
      <c r="DD3" s="525"/>
      <c r="DE3" s="525"/>
      <c r="DF3" s="525"/>
      <c r="DG3" s="525"/>
      <c r="DH3" s="525"/>
      <c r="DI3" s="525"/>
      <c r="DJ3" s="525"/>
      <c r="DK3" s="525"/>
      <c r="DL3" s="525"/>
      <c r="DM3" s="525"/>
      <c r="DN3" s="525"/>
      <c r="DO3" s="525"/>
      <c r="DP3" s="525"/>
      <c r="DQ3" s="525"/>
      <c r="DR3" s="525"/>
      <c r="DS3" s="525"/>
      <c r="DT3" s="525"/>
      <c r="DU3" s="525"/>
      <c r="DV3" s="525"/>
      <c r="DW3" s="525"/>
      <c r="DX3" s="525"/>
      <c r="DY3" s="525"/>
      <c r="DZ3" s="525"/>
      <c r="EA3" s="525"/>
      <c r="EB3" s="525"/>
      <c r="EC3" s="525"/>
      <c r="ED3" s="525"/>
      <c r="EE3" s="525"/>
      <c r="EF3" s="525"/>
      <c r="EG3" s="525"/>
      <c r="EH3" s="525"/>
      <c r="EI3" s="525"/>
      <c r="EJ3" s="525"/>
      <c r="EK3" s="525"/>
      <c r="EL3" s="525"/>
      <c r="EM3" s="525"/>
      <c r="EN3" s="525"/>
      <c r="EO3" s="525"/>
      <c r="EP3" s="525"/>
      <c r="EQ3" s="525"/>
      <c r="ER3" s="525"/>
      <c r="ES3" s="525"/>
      <c r="ET3" s="525"/>
      <c r="EU3" s="525"/>
      <c r="EV3" s="525"/>
      <c r="EW3" s="525"/>
      <c r="EX3" s="525"/>
      <c r="EY3" s="525"/>
      <c r="EZ3" s="525"/>
      <c r="FA3" s="525"/>
      <c r="FB3" s="525"/>
      <c r="FC3" s="525"/>
      <c r="FD3" s="525"/>
      <c r="FE3" s="525"/>
      <c r="FF3" s="525"/>
      <c r="FG3" s="525"/>
      <c r="FH3" s="525"/>
      <c r="FI3" s="525"/>
      <c r="FJ3" s="525"/>
      <c r="FK3" s="525"/>
      <c r="FL3" s="525"/>
      <c r="FM3" s="525"/>
      <c r="FN3" s="525"/>
      <c r="FO3" s="525"/>
      <c r="FP3" s="525"/>
      <c r="FQ3" s="525"/>
      <c r="FR3" s="525"/>
      <c r="FS3" s="525"/>
      <c r="FT3" s="525"/>
      <c r="FU3" s="525"/>
      <c r="FV3" s="525"/>
      <c r="FW3" s="525"/>
      <c r="FX3" s="525"/>
      <c r="FY3" s="525"/>
      <c r="FZ3" s="525"/>
      <c r="GA3" s="525"/>
      <c r="GB3" s="525"/>
      <c r="GC3" s="525"/>
      <c r="GD3" s="525"/>
      <c r="GE3" s="525"/>
      <c r="GF3" s="525"/>
      <c r="GG3" s="525"/>
      <c r="GH3" s="525"/>
      <c r="GI3" s="525"/>
      <c r="GJ3" s="525"/>
      <c r="GK3" s="525"/>
      <c r="GL3" s="525"/>
      <c r="GM3" s="525"/>
      <c r="GN3" s="525"/>
      <c r="GO3" s="525"/>
      <c r="GP3" s="525"/>
      <c r="GQ3" s="525"/>
      <c r="GR3" s="525"/>
      <c r="GS3" s="525"/>
      <c r="GT3" s="525"/>
      <c r="GU3" s="525"/>
      <c r="GV3" s="525"/>
      <c r="GW3" s="525"/>
      <c r="GX3" s="525"/>
      <c r="GY3" s="525"/>
      <c r="GZ3" s="525"/>
      <c r="HA3" s="525"/>
      <c r="HB3" s="525"/>
      <c r="HC3" s="525"/>
      <c r="HD3" s="525"/>
      <c r="HE3" s="525"/>
      <c r="HF3" s="525"/>
      <c r="HG3" s="525"/>
      <c r="HH3" s="525"/>
      <c r="HI3" s="525"/>
      <c r="HJ3" s="525"/>
      <c r="HK3" s="525"/>
      <c r="HL3" s="525"/>
      <c r="HM3" s="525"/>
      <c r="HN3" s="525"/>
      <c r="HO3" s="525"/>
      <c r="HP3" s="525"/>
      <c r="HQ3" s="525"/>
      <c r="HR3" s="525"/>
      <c r="HS3" s="525"/>
      <c r="HT3" s="525"/>
      <c r="HU3" s="525"/>
      <c r="HV3" s="525"/>
      <c r="HW3" s="525"/>
      <c r="HX3" s="525"/>
      <c r="HY3" s="525"/>
      <c r="HZ3" s="525"/>
      <c r="IA3" s="525"/>
      <c r="IB3" s="525"/>
      <c r="IC3" s="525"/>
      <c r="ID3" s="525"/>
      <c r="IE3" s="525"/>
      <c r="IF3" s="525"/>
      <c r="IG3" s="525"/>
      <c r="IH3" s="525"/>
      <c r="II3" s="525"/>
      <c r="IJ3" s="525"/>
      <c r="IK3" s="525"/>
      <c r="IL3" s="525"/>
      <c r="IM3" s="525"/>
      <c r="IN3" s="525"/>
      <c r="IO3" s="525"/>
      <c r="IP3" s="525"/>
      <c r="IQ3" s="525"/>
      <c r="IR3" s="525"/>
      <c r="IS3" s="525"/>
      <c r="IT3" s="525"/>
      <c r="IU3" s="525"/>
      <c r="IV3" s="525"/>
      <c r="IW3" s="525"/>
      <c r="IX3" s="525"/>
      <c r="IY3" s="525"/>
      <c r="IZ3" s="525"/>
      <c r="JA3" s="525"/>
      <c r="JB3" s="525"/>
      <c r="JC3" s="525"/>
      <c r="JD3" s="525"/>
      <c r="JE3" s="525"/>
      <c r="JF3" s="525"/>
      <c r="JG3" s="525"/>
      <c r="JH3" s="525"/>
      <c r="JI3" s="525"/>
      <c r="JJ3" s="525"/>
      <c r="JK3" s="525"/>
      <c r="JL3" s="525"/>
      <c r="JM3" s="525"/>
      <c r="JN3" s="525"/>
      <c r="JO3" s="525"/>
      <c r="JP3" s="525"/>
      <c r="JQ3" s="525"/>
      <c r="JR3" s="525"/>
      <c r="JS3" s="525"/>
      <c r="JT3" s="525"/>
      <c r="JU3" s="525"/>
      <c r="JV3" s="525"/>
      <c r="JW3" s="525"/>
      <c r="JX3" s="525"/>
      <c r="JY3" s="525"/>
      <c r="JZ3" s="525"/>
      <c r="KA3" s="525"/>
      <c r="KB3" s="525"/>
      <c r="KC3" s="525"/>
      <c r="KD3" s="525"/>
      <c r="KE3" s="525"/>
      <c r="KF3" s="525"/>
      <c r="KG3" s="525"/>
      <c r="KH3" s="525"/>
      <c r="KI3" s="525"/>
      <c r="KJ3" s="525"/>
      <c r="KK3" s="525"/>
      <c r="KL3" s="525"/>
      <c r="KM3" s="525"/>
      <c r="KN3" s="525"/>
      <c r="KO3" s="525"/>
      <c r="KP3" s="525"/>
      <c r="KQ3" s="525"/>
      <c r="KR3" s="525"/>
      <c r="KS3" s="525"/>
      <c r="KT3" s="525"/>
      <c r="KU3" s="525"/>
      <c r="KV3" s="525"/>
      <c r="KW3" s="525"/>
      <c r="KX3" s="525"/>
      <c r="KY3" s="525"/>
      <c r="KZ3" s="525"/>
      <c r="LA3" s="525"/>
      <c r="LB3" s="525"/>
      <c r="LC3" s="525"/>
      <c r="LD3" s="525"/>
      <c r="LE3" s="525"/>
      <c r="LF3" s="525"/>
      <c r="LG3" s="525"/>
      <c r="LH3" s="525"/>
      <c r="LI3" s="525"/>
      <c r="LJ3" s="525"/>
      <c r="LK3" s="525"/>
      <c r="LL3" s="525"/>
      <c r="LM3" s="525"/>
      <c r="LN3" s="525"/>
      <c r="LO3" s="525"/>
      <c r="LP3" s="525"/>
      <c r="LQ3" s="525"/>
      <c r="LR3" s="525"/>
      <c r="LS3" s="525"/>
      <c r="LT3" s="525"/>
      <c r="LU3" s="525"/>
      <c r="LV3" s="525"/>
      <c r="LW3" s="525"/>
      <c r="LX3" s="525"/>
      <c r="LY3" s="525"/>
      <c r="LZ3" s="525"/>
      <c r="MA3" s="525"/>
      <c r="MB3" s="525"/>
      <c r="MC3" s="525"/>
      <c r="MD3" s="525"/>
      <c r="ME3" s="525"/>
      <c r="MF3" s="525"/>
      <c r="MG3" s="525"/>
      <c r="MH3" s="525"/>
      <c r="MI3" s="525"/>
      <c r="MJ3" s="525"/>
      <c r="MK3" s="525"/>
      <c r="ML3" s="525"/>
      <c r="MM3" s="525"/>
      <c r="MN3" s="525"/>
      <c r="MO3" s="525"/>
      <c r="MP3" s="525"/>
      <c r="MQ3" s="525"/>
      <c r="MR3" s="525"/>
      <c r="MS3" s="525"/>
      <c r="MT3" s="525"/>
      <c r="MU3" s="525"/>
      <c r="MV3" s="525"/>
      <c r="MW3" s="525"/>
      <c r="MX3" s="525"/>
      <c r="MY3" s="525"/>
      <c r="MZ3" s="525"/>
      <c r="NA3" s="525"/>
      <c r="NB3" s="525"/>
      <c r="NC3" s="525"/>
      <c r="ND3" s="525"/>
      <c r="NE3" s="525"/>
      <c r="NF3" s="525"/>
      <c r="NG3" s="525"/>
      <c r="NH3" s="525"/>
      <c r="NI3" s="525"/>
      <c r="NJ3" s="525"/>
      <c r="NK3" s="525"/>
      <c r="NL3" s="525"/>
      <c r="NM3" s="525"/>
      <c r="NN3" s="525"/>
      <c r="NO3" s="525"/>
      <c r="NP3" s="525"/>
      <c r="NQ3" s="525"/>
      <c r="NR3" s="525"/>
      <c r="NS3" s="525"/>
      <c r="NT3" s="525"/>
      <c r="NU3" s="525"/>
      <c r="NV3" s="525"/>
      <c r="NW3" s="525"/>
      <c r="NX3" s="525"/>
      <c r="NY3" s="525"/>
      <c r="NZ3" s="525"/>
      <c r="OA3" s="525"/>
      <c r="OB3" s="525"/>
      <c r="OC3" s="525"/>
      <c r="OD3" s="525"/>
      <c r="OE3" s="525"/>
      <c r="OF3" s="525"/>
      <c r="OG3" s="525"/>
      <c r="OH3" s="525"/>
      <c r="OI3" s="525"/>
      <c r="OJ3" s="525"/>
      <c r="OK3" s="525"/>
      <c r="OL3" s="525"/>
      <c r="OM3" s="525"/>
      <c r="ON3" s="525"/>
      <c r="OO3" s="525"/>
      <c r="OP3" s="525"/>
      <c r="OQ3" s="525"/>
      <c r="OR3" s="525"/>
      <c r="OS3" s="525"/>
      <c r="OT3" s="525"/>
      <c r="OU3" s="525"/>
      <c r="OV3" s="525"/>
      <c r="OW3" s="525"/>
      <c r="OX3" s="525"/>
      <c r="OY3" s="525"/>
      <c r="OZ3" s="525"/>
      <c r="PA3" s="525"/>
      <c r="PB3" s="525"/>
      <c r="PC3" s="525"/>
      <c r="PD3" s="525"/>
      <c r="PE3" s="525"/>
      <c r="PF3" s="525"/>
      <c r="PG3" s="525"/>
      <c r="PH3" s="525"/>
      <c r="PI3" s="525"/>
      <c r="PJ3" s="525"/>
      <c r="PK3" s="525"/>
      <c r="PL3" s="525"/>
      <c r="PM3" s="525"/>
      <c r="PN3" s="525"/>
      <c r="PO3" s="525"/>
      <c r="PP3" s="525"/>
      <c r="PQ3" s="525"/>
      <c r="PR3" s="525"/>
      <c r="PS3" s="525"/>
      <c r="PT3" s="525"/>
      <c r="PU3" s="525"/>
      <c r="PV3" s="525"/>
      <c r="PW3" s="525"/>
      <c r="PX3" s="525"/>
      <c r="PY3" s="525"/>
      <c r="PZ3" s="525"/>
      <c r="QA3" s="525"/>
      <c r="QB3" s="525"/>
      <c r="QC3" s="525"/>
      <c r="QD3" s="525"/>
      <c r="QE3" s="525"/>
      <c r="QF3" s="525"/>
      <c r="QG3" s="525"/>
      <c r="QH3" s="525"/>
      <c r="QI3" s="525"/>
      <c r="QJ3" s="525"/>
      <c r="QK3" s="525"/>
      <c r="QL3" s="525"/>
      <c r="QM3" s="525"/>
      <c r="QN3" s="525"/>
      <c r="QO3" s="525"/>
      <c r="QP3" s="525"/>
      <c r="QQ3" s="525"/>
      <c r="QR3" s="525"/>
      <c r="QS3" s="525"/>
      <c r="QT3" s="525"/>
      <c r="QU3" s="525"/>
      <c r="QV3" s="525"/>
      <c r="QW3" s="525"/>
      <c r="QX3" s="525"/>
      <c r="QY3" s="525"/>
      <c r="QZ3" s="525"/>
      <c r="RA3" s="525"/>
      <c r="RB3" s="525"/>
      <c r="RC3" s="525"/>
      <c r="RD3" s="525"/>
      <c r="RE3" s="525"/>
      <c r="RF3" s="525"/>
      <c r="RG3" s="525"/>
      <c r="RH3" s="525"/>
      <c r="RI3" s="525"/>
      <c r="RJ3" s="525"/>
      <c r="RK3" s="525"/>
      <c r="RL3" s="525"/>
      <c r="RM3" s="525"/>
      <c r="RN3" s="525"/>
      <c r="RO3" s="525"/>
      <c r="RP3" s="525"/>
      <c r="RQ3" s="525"/>
      <c r="RR3" s="525"/>
      <c r="RS3" s="525"/>
      <c r="RT3" s="525"/>
      <c r="RU3" s="525"/>
      <c r="RV3" s="525"/>
      <c r="RW3" s="525"/>
      <c r="RX3" s="525"/>
      <c r="RY3" s="525"/>
      <c r="RZ3" s="525"/>
      <c r="SA3" s="525"/>
      <c r="SB3" s="525"/>
      <c r="SC3" s="525"/>
      <c r="SD3" s="525"/>
      <c r="SE3" s="525"/>
      <c r="SF3" s="525"/>
      <c r="SG3" s="525"/>
      <c r="SH3" s="525"/>
      <c r="SI3" s="525"/>
      <c r="SJ3" s="525"/>
      <c r="SK3" s="525"/>
      <c r="SL3" s="525"/>
      <c r="SM3" s="525"/>
      <c r="SN3" s="525"/>
      <c r="SO3" s="525"/>
      <c r="SP3" s="525"/>
      <c r="SQ3" s="525"/>
      <c r="SR3" s="525"/>
      <c r="SS3" s="525"/>
      <c r="ST3" s="525"/>
      <c r="SU3" s="525"/>
      <c r="SV3" s="525"/>
      <c r="SW3" s="525"/>
      <c r="SX3" s="525"/>
      <c r="SY3" s="525"/>
      <c r="SZ3" s="525"/>
      <c r="TA3" s="525"/>
      <c r="TB3" s="525"/>
      <c r="TC3" s="525"/>
      <c r="TD3" s="525"/>
      <c r="TE3" s="525"/>
      <c r="TF3" s="525"/>
      <c r="TG3" s="525"/>
      <c r="TH3" s="525"/>
      <c r="TI3" s="525"/>
      <c r="TJ3" s="525"/>
      <c r="TK3" s="525"/>
      <c r="TL3" s="525"/>
      <c r="TM3" s="525"/>
      <c r="TN3" s="525"/>
      <c r="TO3" s="525"/>
      <c r="TP3" s="525"/>
      <c r="TQ3" s="525"/>
      <c r="TR3" s="525"/>
      <c r="TS3" s="525"/>
      <c r="TT3" s="525"/>
      <c r="TU3" s="525"/>
      <c r="TV3" s="525"/>
      <c r="TW3" s="525"/>
      <c r="TX3" s="525"/>
      <c r="TY3" s="525"/>
      <c r="TZ3" s="525"/>
      <c r="UA3" s="525"/>
      <c r="UB3" s="525"/>
      <c r="UC3" s="525"/>
      <c r="UD3" s="525"/>
      <c r="UE3" s="525"/>
      <c r="UF3" s="525"/>
      <c r="UG3" s="525"/>
      <c r="UH3" s="525"/>
      <c r="UI3" s="525"/>
      <c r="UJ3" s="525"/>
      <c r="UK3" s="525"/>
      <c r="UL3" s="525"/>
      <c r="UM3" s="525"/>
      <c r="UN3" s="525"/>
      <c r="UO3" s="525"/>
      <c r="UP3" s="525"/>
      <c r="UQ3" s="525"/>
      <c r="UR3" s="525"/>
      <c r="US3" s="525"/>
      <c r="UT3" s="525"/>
      <c r="UU3" s="525"/>
      <c r="UV3" s="525"/>
      <c r="UW3" s="525"/>
      <c r="UX3" s="525"/>
      <c r="UY3" s="525"/>
      <c r="UZ3" s="525"/>
      <c r="VA3" s="525"/>
      <c r="VB3" s="525"/>
      <c r="VC3" s="525"/>
      <c r="VD3" s="525"/>
      <c r="VE3" s="525"/>
      <c r="VF3" s="525"/>
      <c r="VG3" s="525"/>
      <c r="VH3" s="525"/>
      <c r="VI3" s="525"/>
      <c r="VJ3" s="525"/>
      <c r="VK3" s="525"/>
      <c r="VL3" s="525"/>
      <c r="VM3" s="525"/>
      <c r="VN3" s="525"/>
      <c r="VO3" s="525"/>
      <c r="VP3" s="525"/>
      <c r="VQ3" s="525"/>
      <c r="VR3" s="525"/>
      <c r="VS3" s="525"/>
      <c r="VT3" s="525"/>
      <c r="VU3" s="525"/>
      <c r="VV3" s="525"/>
      <c r="VW3" s="525"/>
      <c r="VX3" s="525"/>
      <c r="VY3" s="525"/>
      <c r="VZ3" s="525"/>
      <c r="WA3" s="525"/>
      <c r="WB3" s="525"/>
      <c r="WC3" s="525"/>
      <c r="WD3" s="525"/>
      <c r="WE3" s="525"/>
      <c r="WF3" s="525"/>
      <c r="WG3" s="525"/>
      <c r="WH3" s="525"/>
      <c r="WI3" s="525"/>
      <c r="WJ3" s="525"/>
      <c r="WK3" s="525"/>
      <c r="WL3" s="525"/>
      <c r="WM3" s="525"/>
      <c r="WN3" s="525"/>
      <c r="WO3" s="525"/>
      <c r="WP3" s="525"/>
      <c r="WQ3" s="525"/>
      <c r="WR3" s="525"/>
      <c r="WS3" s="525"/>
      <c r="WT3" s="525"/>
      <c r="WU3" s="525"/>
      <c r="WV3" s="525"/>
      <c r="WW3" s="525"/>
      <c r="WX3" s="525"/>
      <c r="WY3" s="525"/>
      <c r="WZ3" s="525"/>
      <c r="XA3" s="525"/>
      <c r="XB3" s="525"/>
      <c r="XC3" s="525"/>
      <c r="XD3" s="525"/>
      <c r="XE3" s="525"/>
      <c r="XF3" s="525"/>
      <c r="XG3" s="525"/>
      <c r="XH3" s="525"/>
      <c r="XI3" s="525"/>
      <c r="XJ3" s="525"/>
      <c r="XK3" s="525"/>
      <c r="XL3" s="525"/>
      <c r="XM3" s="525"/>
      <c r="XN3" s="525"/>
      <c r="XO3" s="525"/>
      <c r="XP3" s="525"/>
      <c r="XQ3" s="525"/>
      <c r="XR3" s="525"/>
      <c r="XS3" s="525"/>
      <c r="XT3" s="525"/>
      <c r="XU3" s="525"/>
      <c r="XV3" s="525"/>
      <c r="XW3" s="525"/>
      <c r="XX3" s="525"/>
      <c r="XY3" s="525"/>
      <c r="XZ3" s="525"/>
      <c r="YA3" s="525"/>
      <c r="YB3" s="525"/>
      <c r="YC3" s="525"/>
      <c r="YD3" s="525"/>
      <c r="YE3" s="525"/>
      <c r="YF3" s="525"/>
      <c r="YG3" s="525"/>
      <c r="YH3" s="525"/>
      <c r="YI3" s="525"/>
      <c r="YJ3" s="525"/>
      <c r="YK3" s="525"/>
      <c r="YL3" s="525"/>
      <c r="YM3" s="525"/>
      <c r="YN3" s="525"/>
      <c r="YO3" s="525"/>
      <c r="YP3" s="525"/>
      <c r="YQ3" s="525"/>
      <c r="YR3" s="525"/>
      <c r="YS3" s="525"/>
      <c r="YT3" s="525"/>
      <c r="YU3" s="525"/>
      <c r="YV3" s="525"/>
      <c r="YW3" s="525"/>
      <c r="YX3" s="525"/>
      <c r="YY3" s="525"/>
      <c r="YZ3" s="525"/>
      <c r="ZA3" s="525"/>
      <c r="ZB3" s="525"/>
      <c r="ZC3" s="525"/>
      <c r="ZD3" s="525"/>
      <c r="ZE3" s="525"/>
      <c r="ZF3" s="525"/>
      <c r="ZG3" s="525"/>
      <c r="ZH3" s="525"/>
      <c r="ZI3" s="525"/>
      <c r="ZJ3" s="525"/>
      <c r="ZK3" s="525"/>
      <c r="ZL3" s="525"/>
      <c r="ZM3" s="525"/>
      <c r="ZN3" s="525"/>
      <c r="ZO3" s="525"/>
      <c r="ZP3" s="525"/>
      <c r="ZQ3" s="525"/>
      <c r="ZR3" s="525"/>
      <c r="ZS3" s="525"/>
      <c r="ZT3" s="525"/>
      <c r="ZU3" s="525"/>
      <c r="ZV3" s="525"/>
      <c r="ZW3" s="525"/>
      <c r="ZX3" s="525"/>
      <c r="ZY3" s="525"/>
      <c r="ZZ3" s="525"/>
      <c r="AAA3" s="525"/>
      <c r="AAB3" s="525"/>
      <c r="AAC3" s="525"/>
      <c r="AAD3" s="525"/>
      <c r="AAE3" s="525"/>
      <c r="AAF3" s="525"/>
      <c r="AAG3" s="525"/>
      <c r="AAH3" s="525"/>
      <c r="AAI3" s="525"/>
      <c r="AAJ3" s="525"/>
      <c r="AAK3" s="525"/>
      <c r="AAL3" s="525"/>
      <c r="AAM3" s="525"/>
      <c r="AAN3" s="525"/>
      <c r="AAO3" s="525"/>
      <c r="AAP3" s="525"/>
      <c r="AAQ3" s="525"/>
      <c r="AAR3" s="525"/>
      <c r="AAS3" s="525"/>
      <c r="AAT3" s="525"/>
      <c r="AAU3" s="525"/>
      <c r="AAV3" s="525"/>
      <c r="AAW3" s="525"/>
      <c r="AAX3" s="525"/>
      <c r="AAY3" s="525"/>
      <c r="AAZ3" s="525"/>
      <c r="ABA3" s="525"/>
      <c r="ABB3" s="525"/>
      <c r="ABC3" s="525"/>
      <c r="ABD3" s="525"/>
      <c r="ABE3" s="525"/>
      <c r="ABF3" s="525"/>
      <c r="ABG3" s="525"/>
      <c r="ABH3" s="525"/>
      <c r="ABI3" s="525"/>
      <c r="ABJ3" s="525"/>
      <c r="ABK3" s="525"/>
      <c r="ABL3" s="525"/>
      <c r="ABM3" s="525"/>
      <c r="ABN3" s="525"/>
      <c r="ABO3" s="525"/>
      <c r="ABP3" s="525"/>
      <c r="ABQ3" s="525"/>
      <c r="ABR3" s="525"/>
      <c r="ABS3" s="525"/>
      <c r="ABT3" s="525"/>
      <c r="ABU3" s="525"/>
      <c r="ABV3" s="525"/>
      <c r="ABW3" s="525"/>
      <c r="ABX3" s="525"/>
      <c r="ABY3" s="525"/>
      <c r="ABZ3" s="525"/>
      <c r="ACA3" s="525"/>
      <c r="ACB3" s="525"/>
      <c r="ACC3" s="525"/>
      <c r="ACD3" s="525"/>
      <c r="ACE3" s="525"/>
      <c r="ACF3" s="525"/>
      <c r="ACG3" s="525"/>
      <c r="ACH3" s="525"/>
      <c r="ACI3" s="525"/>
      <c r="ACJ3" s="525"/>
      <c r="ACK3" s="525"/>
      <c r="ACL3" s="525"/>
      <c r="ACM3" s="525"/>
      <c r="ACN3" s="525"/>
      <c r="ACO3" s="525"/>
      <c r="ACP3" s="525"/>
      <c r="ACQ3" s="525"/>
      <c r="ACR3" s="525"/>
      <c r="ACS3" s="525"/>
      <c r="ACT3" s="525"/>
      <c r="ACU3" s="525"/>
      <c r="ACV3" s="525"/>
      <c r="ACW3" s="525"/>
      <c r="ACX3" s="525"/>
      <c r="ACY3" s="525"/>
      <c r="ACZ3" s="525"/>
      <c r="ADA3" s="525"/>
      <c r="ADB3" s="525"/>
      <c r="ADC3" s="525"/>
      <c r="ADD3" s="525"/>
      <c r="ADE3" s="525"/>
      <c r="ADF3" s="525"/>
      <c r="ADG3" s="525"/>
      <c r="ADH3" s="525"/>
      <c r="ADI3" s="525"/>
      <c r="ADJ3" s="525"/>
      <c r="ADK3" s="525"/>
      <c r="ADL3" s="525"/>
      <c r="ADM3" s="525"/>
      <c r="ADN3" s="525"/>
      <c r="ADO3" s="525"/>
      <c r="ADP3" s="525"/>
      <c r="ADQ3" s="525"/>
      <c r="ADR3" s="525"/>
      <c r="ADS3" s="525"/>
      <c r="ADT3" s="525"/>
      <c r="ADU3" s="525"/>
      <c r="ADV3" s="525"/>
      <c r="ADW3" s="525"/>
      <c r="ADX3" s="525"/>
      <c r="ADY3" s="525"/>
      <c r="ADZ3" s="525"/>
      <c r="AEA3" s="525"/>
      <c r="AEB3" s="525"/>
      <c r="AEC3" s="525"/>
      <c r="AED3" s="525"/>
      <c r="AEE3" s="525"/>
      <c r="AEF3" s="525"/>
      <c r="AEG3" s="525"/>
      <c r="AEH3" s="525"/>
      <c r="AEI3" s="525"/>
      <c r="AEJ3" s="525"/>
      <c r="AEK3" s="525"/>
      <c r="AEL3" s="525"/>
      <c r="AEM3" s="525"/>
      <c r="AEN3" s="525"/>
      <c r="AEO3" s="525"/>
      <c r="AEP3" s="525"/>
      <c r="AEQ3" s="525"/>
      <c r="AER3" s="525"/>
      <c r="AES3" s="525"/>
      <c r="AET3" s="525"/>
      <c r="AEU3" s="525"/>
      <c r="AEV3" s="525"/>
      <c r="AEW3" s="525"/>
      <c r="AEX3" s="525"/>
      <c r="AEY3" s="525"/>
      <c r="AEZ3" s="525"/>
      <c r="AFA3" s="525"/>
      <c r="AFB3" s="525"/>
      <c r="AFC3" s="525"/>
      <c r="AFD3" s="525"/>
      <c r="AFE3" s="525"/>
      <c r="AFF3" s="525"/>
      <c r="AFG3" s="525"/>
      <c r="AFH3" s="525"/>
      <c r="AFI3" s="525"/>
      <c r="AFJ3" s="525"/>
      <c r="AFK3" s="525"/>
      <c r="AFL3" s="525"/>
      <c r="AFM3" s="525"/>
      <c r="AFN3" s="525"/>
      <c r="AFO3" s="525"/>
      <c r="AFP3" s="525"/>
      <c r="AFQ3" s="525"/>
      <c r="AFR3" s="525"/>
      <c r="AFS3" s="525"/>
      <c r="AFT3" s="525"/>
      <c r="AFU3" s="525"/>
      <c r="AFV3" s="525"/>
      <c r="AFW3" s="525"/>
      <c r="AFX3" s="525"/>
      <c r="AFY3" s="525"/>
      <c r="AFZ3" s="525"/>
      <c r="AGA3" s="525"/>
      <c r="AGB3" s="525"/>
      <c r="AGC3" s="525"/>
      <c r="AGD3" s="525"/>
      <c r="AGE3" s="525"/>
      <c r="AGF3" s="525"/>
      <c r="AGG3" s="525"/>
      <c r="AGH3" s="525"/>
      <c r="AGI3" s="525"/>
      <c r="AGJ3" s="525"/>
      <c r="AGK3" s="525"/>
      <c r="AGL3" s="525"/>
      <c r="AGM3" s="525"/>
      <c r="AGN3" s="525"/>
      <c r="AGO3" s="525"/>
      <c r="AGP3" s="525"/>
      <c r="AGQ3" s="525"/>
      <c r="AGR3" s="525"/>
      <c r="AGS3" s="525"/>
      <c r="AGT3" s="525"/>
      <c r="AGU3" s="525"/>
      <c r="AGV3" s="525"/>
      <c r="AGW3" s="525"/>
      <c r="AGX3" s="525"/>
      <c r="AGY3" s="525"/>
      <c r="AGZ3" s="525"/>
      <c r="AHA3" s="525"/>
      <c r="AHB3" s="525"/>
      <c r="AHC3" s="525"/>
      <c r="AHD3" s="525"/>
      <c r="AHE3" s="525"/>
      <c r="AHF3" s="525"/>
      <c r="AHG3" s="525"/>
      <c r="AHH3" s="525"/>
      <c r="AHI3" s="525"/>
      <c r="AHJ3" s="525"/>
      <c r="AHK3" s="525"/>
      <c r="AHL3" s="525"/>
      <c r="AHM3" s="525"/>
      <c r="AHN3" s="525"/>
      <c r="AHO3" s="525"/>
      <c r="AHP3" s="525"/>
      <c r="AHQ3" s="525"/>
      <c r="AHR3" s="525"/>
      <c r="AHS3" s="525"/>
      <c r="AHT3" s="525"/>
      <c r="AHU3" s="525"/>
      <c r="AHV3" s="525"/>
      <c r="AHW3" s="525"/>
      <c r="AHX3" s="525"/>
      <c r="AHY3" s="525"/>
      <c r="AHZ3" s="525"/>
      <c r="AIA3" s="525"/>
      <c r="AIB3" s="525"/>
      <c r="AIC3" s="525"/>
      <c r="AID3" s="525"/>
      <c r="AIE3" s="525"/>
      <c r="AIF3" s="525"/>
      <c r="AIG3" s="525"/>
      <c r="AIH3" s="525"/>
      <c r="AII3" s="525"/>
      <c r="AIJ3" s="525"/>
      <c r="AIK3" s="525"/>
      <c r="AIL3" s="525"/>
      <c r="AIM3" s="525"/>
      <c r="AIN3" s="525"/>
      <c r="AIO3" s="525"/>
      <c r="AIP3" s="525"/>
      <c r="AIQ3" s="525"/>
      <c r="AIR3" s="525"/>
      <c r="AIS3" s="525"/>
      <c r="AIT3" s="525"/>
      <c r="AIU3" s="525"/>
      <c r="AIV3" s="525"/>
      <c r="AIW3" s="525"/>
      <c r="AIX3" s="525"/>
      <c r="AIY3" s="525"/>
      <c r="AIZ3" s="525"/>
      <c r="AJA3" s="525"/>
      <c r="AJB3" s="525"/>
      <c r="AJC3" s="525"/>
      <c r="AJD3" s="525"/>
      <c r="AJE3" s="525"/>
      <c r="AJF3" s="525"/>
      <c r="AJG3" s="525"/>
      <c r="AJH3" s="525"/>
      <c r="AJI3" s="525"/>
      <c r="AJJ3" s="525"/>
      <c r="AJK3" s="525"/>
      <c r="AJL3" s="525"/>
      <c r="AJM3" s="525"/>
      <c r="AJN3" s="525"/>
      <c r="AJO3" s="525"/>
      <c r="AJP3" s="525"/>
      <c r="AJQ3" s="525"/>
      <c r="AJR3" s="525"/>
      <c r="AJS3" s="525"/>
      <c r="AJT3" s="525"/>
      <c r="AJU3" s="525"/>
      <c r="AJV3" s="525"/>
      <c r="AJW3" s="525"/>
      <c r="AJX3" s="525"/>
      <c r="AJY3" s="525"/>
      <c r="AJZ3" s="525"/>
      <c r="AKA3" s="525"/>
      <c r="AKB3" s="525"/>
      <c r="AKC3" s="525"/>
      <c r="AKD3" s="525"/>
      <c r="AKE3" s="525"/>
      <c r="AKF3" s="525"/>
      <c r="AKG3" s="525"/>
      <c r="AKH3" s="525"/>
      <c r="AKI3" s="525"/>
      <c r="AKJ3" s="525"/>
      <c r="AKK3" s="525"/>
      <c r="AKL3" s="525"/>
      <c r="AKM3" s="525"/>
      <c r="AKN3" s="525"/>
      <c r="AKO3" s="525"/>
      <c r="AKP3" s="525"/>
      <c r="AKQ3" s="525"/>
      <c r="AKR3" s="525"/>
      <c r="AKS3" s="525"/>
      <c r="AKT3" s="525"/>
      <c r="AKU3" s="525"/>
      <c r="AKV3" s="525"/>
      <c r="AKW3" s="525"/>
      <c r="AKX3" s="525"/>
      <c r="AKY3" s="525"/>
      <c r="AKZ3" s="525"/>
      <c r="ALA3" s="525"/>
      <c r="ALB3" s="525"/>
      <c r="ALC3" s="525"/>
      <c r="ALD3" s="525"/>
      <c r="ALE3" s="525"/>
      <c r="ALF3" s="525"/>
      <c r="ALG3" s="525"/>
      <c r="ALH3" s="525"/>
      <c r="ALI3" s="525"/>
      <c r="ALJ3" s="525"/>
      <c r="ALK3" s="525"/>
      <c r="ALL3" s="525"/>
      <c r="ALM3" s="525"/>
      <c r="ALN3" s="525"/>
      <c r="ALO3" s="525"/>
      <c r="ALP3" s="525"/>
      <c r="ALQ3" s="525"/>
      <c r="ALR3" s="525"/>
      <c r="ALS3" s="525"/>
      <c r="ALT3" s="525"/>
      <c r="ALU3" s="525"/>
      <c r="ALV3" s="525"/>
      <c r="ALW3" s="525"/>
      <c r="ALX3" s="525"/>
      <c r="ALY3" s="525"/>
      <c r="ALZ3" s="525"/>
      <c r="AMA3" s="525"/>
      <c r="AMB3" s="525"/>
      <c r="AMC3" s="525"/>
      <c r="AMD3" s="525"/>
      <c r="AME3" s="525"/>
      <c r="AMF3" s="525"/>
      <c r="AMG3" s="525"/>
      <c r="AMH3" s="525"/>
      <c r="AMI3" s="525"/>
      <c r="AMJ3" s="525"/>
      <c r="AMK3" s="525"/>
      <c r="AML3" s="525"/>
      <c r="AMM3" s="525"/>
      <c r="AMN3" s="525"/>
      <c r="AMO3" s="525"/>
      <c r="AMP3" s="525"/>
      <c r="AMQ3" s="525"/>
      <c r="AMR3" s="525"/>
      <c r="AMS3" s="525"/>
      <c r="AMT3" s="525"/>
      <c r="AMU3" s="525"/>
      <c r="AMV3" s="525"/>
      <c r="AMW3" s="525"/>
      <c r="AMX3" s="525"/>
      <c r="AMY3" s="525"/>
      <c r="AMZ3" s="525"/>
      <c r="ANA3" s="525"/>
      <c r="ANB3" s="525"/>
      <c r="ANC3" s="525"/>
      <c r="AND3" s="525"/>
      <c r="ANE3" s="525"/>
      <c r="ANF3" s="525"/>
      <c r="ANG3" s="525"/>
      <c r="ANH3" s="525"/>
      <c r="ANI3" s="525"/>
      <c r="ANJ3" s="525"/>
      <c r="ANK3" s="525"/>
      <c r="ANL3" s="525"/>
      <c r="ANM3" s="525"/>
      <c r="ANN3" s="525"/>
      <c r="ANO3" s="525"/>
      <c r="ANP3" s="525"/>
      <c r="ANQ3" s="525"/>
      <c r="ANR3" s="525"/>
      <c r="ANS3" s="525"/>
      <c r="ANT3" s="525"/>
      <c r="ANU3" s="525"/>
      <c r="ANV3" s="525"/>
      <c r="ANW3" s="525"/>
      <c r="ANX3" s="525"/>
      <c r="ANY3" s="525"/>
      <c r="ANZ3" s="525"/>
      <c r="AOA3" s="525"/>
      <c r="AOB3" s="525"/>
      <c r="AOC3" s="525"/>
      <c r="AOD3" s="525"/>
      <c r="AOE3" s="525"/>
      <c r="AOF3" s="525"/>
      <c r="AOG3" s="525"/>
      <c r="AOH3" s="525"/>
      <c r="AOI3" s="525"/>
      <c r="AOJ3" s="525"/>
      <c r="AOK3" s="525"/>
      <c r="AOL3" s="525"/>
      <c r="AOM3" s="525"/>
      <c r="AON3" s="525"/>
      <c r="AOO3" s="525"/>
      <c r="AOP3" s="525"/>
      <c r="AOQ3" s="525"/>
      <c r="AOR3" s="525"/>
      <c r="AOS3" s="525"/>
      <c r="AOT3" s="525"/>
      <c r="AOU3" s="525"/>
      <c r="AOV3" s="525"/>
      <c r="AOW3" s="525"/>
      <c r="AOX3" s="525"/>
      <c r="AOY3" s="525"/>
      <c r="AOZ3" s="525"/>
      <c r="APA3" s="525"/>
      <c r="APB3" s="525"/>
      <c r="APC3" s="525"/>
      <c r="APD3" s="525"/>
      <c r="APE3" s="525"/>
      <c r="APF3" s="525"/>
      <c r="APG3" s="525"/>
      <c r="APH3" s="525"/>
      <c r="API3" s="525"/>
      <c r="APJ3" s="525"/>
      <c r="APK3" s="525"/>
      <c r="APL3" s="525"/>
      <c r="APM3" s="525"/>
      <c r="APN3" s="525"/>
      <c r="APO3" s="525"/>
      <c r="APP3" s="525"/>
      <c r="APQ3" s="525"/>
      <c r="APR3" s="525"/>
      <c r="APS3" s="525"/>
      <c r="APT3" s="525"/>
      <c r="APU3" s="525"/>
      <c r="APV3" s="525"/>
      <c r="APW3" s="525"/>
      <c r="APX3" s="525"/>
      <c r="APY3" s="525"/>
      <c r="APZ3" s="525"/>
      <c r="AQA3" s="525"/>
      <c r="AQB3" s="525"/>
      <c r="AQC3" s="525"/>
      <c r="AQD3" s="525"/>
      <c r="AQE3" s="525"/>
      <c r="AQF3" s="525"/>
      <c r="AQG3" s="525"/>
      <c r="AQH3" s="525"/>
      <c r="AQI3" s="525"/>
      <c r="AQJ3" s="525"/>
      <c r="AQK3" s="525"/>
      <c r="AQL3" s="525"/>
      <c r="AQM3" s="525"/>
      <c r="AQN3" s="525"/>
      <c r="AQO3" s="525"/>
      <c r="AQP3" s="525"/>
      <c r="AQQ3" s="525"/>
      <c r="AQR3" s="525"/>
      <c r="AQS3" s="525"/>
      <c r="AQT3" s="525"/>
      <c r="AQU3" s="525"/>
      <c r="AQV3" s="525"/>
      <c r="AQW3" s="525"/>
      <c r="AQX3" s="525"/>
      <c r="AQY3" s="525"/>
      <c r="AQZ3" s="525"/>
      <c r="ARA3" s="525"/>
      <c r="ARB3" s="525"/>
      <c r="ARC3" s="525"/>
      <c r="ARD3" s="525"/>
      <c r="ARE3" s="525"/>
      <c r="ARF3" s="525"/>
      <c r="ARG3" s="525"/>
      <c r="ARH3" s="525"/>
      <c r="ARI3" s="525"/>
      <c r="ARJ3" s="525"/>
      <c r="ARK3" s="525"/>
      <c r="ARL3" s="525"/>
      <c r="ARM3" s="525"/>
      <c r="ARN3" s="525"/>
      <c r="ARO3" s="525"/>
      <c r="ARP3" s="525"/>
      <c r="ARQ3" s="525"/>
      <c r="ARR3" s="525"/>
      <c r="ARS3" s="525"/>
      <c r="ART3" s="525"/>
      <c r="ARU3" s="525"/>
      <c r="ARV3" s="525"/>
      <c r="ARW3" s="525"/>
      <c r="ARX3" s="525"/>
      <c r="ARY3" s="525"/>
      <c r="ARZ3" s="525"/>
      <c r="ASA3" s="525"/>
      <c r="ASB3" s="525"/>
      <c r="ASC3" s="525"/>
      <c r="ASD3" s="525"/>
      <c r="ASE3" s="525"/>
      <c r="ASF3" s="525"/>
      <c r="ASG3" s="525"/>
      <c r="ASH3" s="525"/>
      <c r="ASI3" s="525"/>
      <c r="ASJ3" s="525"/>
      <c r="ASK3" s="525"/>
      <c r="ASL3" s="525"/>
      <c r="ASM3" s="525"/>
      <c r="ASN3" s="525"/>
      <c r="ASO3" s="525"/>
      <c r="ASP3" s="525"/>
      <c r="ASQ3" s="525"/>
      <c r="ASR3" s="525"/>
      <c r="ASS3" s="525"/>
      <c r="AST3" s="525"/>
      <c r="ASU3" s="525"/>
      <c r="ASV3" s="525"/>
      <c r="ASW3" s="525"/>
      <c r="ASX3" s="525"/>
      <c r="ASY3" s="525"/>
      <c r="ASZ3" s="525"/>
      <c r="ATA3" s="525"/>
      <c r="ATB3" s="525"/>
      <c r="ATC3" s="525"/>
      <c r="ATD3" s="525"/>
      <c r="ATE3" s="525"/>
      <c r="ATF3" s="525"/>
      <c r="ATG3" s="525"/>
      <c r="ATH3" s="525"/>
      <c r="ATI3" s="525"/>
      <c r="ATJ3" s="525"/>
      <c r="ATK3" s="525"/>
      <c r="ATL3" s="525"/>
      <c r="ATM3" s="525"/>
      <c r="ATN3" s="525"/>
      <c r="ATO3" s="525"/>
      <c r="ATP3" s="525"/>
      <c r="ATQ3" s="525"/>
      <c r="ATR3" s="525"/>
      <c r="ATS3" s="525"/>
      <c r="ATT3" s="525"/>
      <c r="ATU3" s="525"/>
      <c r="ATV3" s="525"/>
      <c r="ATW3" s="525"/>
      <c r="ATX3" s="525"/>
      <c r="ATY3" s="525"/>
      <c r="ATZ3" s="525"/>
      <c r="AUA3" s="525"/>
      <c r="AUB3" s="525"/>
      <c r="AUC3" s="525"/>
      <c r="AUD3" s="525"/>
      <c r="AUE3" s="525"/>
      <c r="AUF3" s="525"/>
      <c r="AUG3" s="525"/>
      <c r="AUH3" s="525"/>
      <c r="AUI3" s="525"/>
      <c r="AUJ3" s="525"/>
      <c r="AUK3" s="525"/>
      <c r="AUL3" s="525"/>
      <c r="AUM3" s="525"/>
      <c r="AUN3" s="525"/>
      <c r="AUO3" s="525"/>
      <c r="AUP3" s="525"/>
      <c r="AUQ3" s="525"/>
      <c r="AUR3" s="525"/>
      <c r="AUS3" s="525"/>
      <c r="AUT3" s="525"/>
      <c r="AUU3" s="525"/>
      <c r="AUV3" s="525"/>
      <c r="AUW3" s="525"/>
      <c r="AUX3" s="525"/>
      <c r="AUY3" s="525"/>
      <c r="AUZ3" s="525"/>
      <c r="AVA3" s="525"/>
      <c r="AVB3" s="525"/>
      <c r="AVC3" s="525"/>
      <c r="AVD3" s="525"/>
      <c r="AVE3" s="525"/>
      <c r="AVF3" s="525"/>
      <c r="AVG3" s="525"/>
      <c r="AVH3" s="525"/>
      <c r="AVI3" s="525"/>
      <c r="AVJ3" s="525"/>
      <c r="AVK3" s="525"/>
      <c r="AVL3" s="525"/>
      <c r="AVM3" s="525"/>
      <c r="AVN3" s="525"/>
      <c r="AVO3" s="525"/>
      <c r="AVP3" s="525"/>
      <c r="AVQ3" s="525"/>
      <c r="AVR3" s="525"/>
      <c r="AVS3" s="525"/>
      <c r="AVT3" s="525"/>
      <c r="AVU3" s="525"/>
      <c r="AVV3" s="525"/>
      <c r="AVW3" s="525"/>
      <c r="AVX3" s="525"/>
      <c r="AVY3" s="525"/>
      <c r="AVZ3" s="525"/>
      <c r="AWA3" s="525"/>
      <c r="AWB3" s="525"/>
      <c r="AWC3" s="525"/>
      <c r="AWD3" s="525"/>
      <c r="AWE3" s="525"/>
      <c r="AWF3" s="525"/>
      <c r="AWG3" s="525"/>
      <c r="AWH3" s="525"/>
      <c r="AWI3" s="525"/>
      <c r="AWJ3" s="525"/>
      <c r="AWK3" s="525"/>
      <c r="AWL3" s="525"/>
      <c r="AWM3" s="525"/>
      <c r="AWN3" s="525"/>
      <c r="AWO3" s="525"/>
      <c r="AWP3" s="525"/>
      <c r="AWQ3" s="525"/>
      <c r="AWR3" s="525"/>
      <c r="AWS3" s="525"/>
      <c r="AWT3" s="525"/>
      <c r="AWU3" s="525"/>
      <c r="AWV3" s="525"/>
      <c r="AWW3" s="525"/>
      <c r="AWX3" s="525"/>
      <c r="AWY3" s="525"/>
      <c r="AWZ3" s="525"/>
      <c r="AXA3" s="525"/>
      <c r="AXB3" s="525"/>
      <c r="AXC3" s="525"/>
      <c r="AXD3" s="525"/>
      <c r="AXE3" s="525"/>
      <c r="AXF3" s="525"/>
      <c r="AXG3" s="525"/>
      <c r="AXH3" s="525"/>
      <c r="AXI3" s="525"/>
      <c r="AXJ3" s="525"/>
      <c r="AXK3" s="525"/>
      <c r="AXL3" s="525"/>
      <c r="AXM3" s="525"/>
      <c r="AXN3" s="525"/>
      <c r="AXO3" s="525"/>
      <c r="AXP3" s="525"/>
      <c r="AXQ3" s="525"/>
      <c r="AXR3" s="525"/>
      <c r="AXS3" s="525"/>
      <c r="AXT3" s="525"/>
      <c r="AXU3" s="525"/>
      <c r="AXV3" s="525"/>
      <c r="AXW3" s="525"/>
      <c r="AXX3" s="525"/>
      <c r="AXY3" s="525"/>
      <c r="AXZ3" s="525"/>
      <c r="AYA3" s="525"/>
      <c r="AYB3" s="525"/>
      <c r="AYC3" s="525"/>
      <c r="AYD3" s="525"/>
      <c r="AYE3" s="525"/>
      <c r="AYF3" s="525"/>
      <c r="AYG3" s="525"/>
      <c r="AYH3" s="525"/>
      <c r="AYI3" s="525"/>
      <c r="AYJ3" s="525"/>
      <c r="AYK3" s="525"/>
      <c r="AYL3" s="525"/>
      <c r="AYM3" s="525"/>
      <c r="AYN3" s="525"/>
      <c r="AYO3" s="525"/>
      <c r="AYP3" s="525"/>
      <c r="AYQ3" s="525"/>
      <c r="AYR3" s="525"/>
      <c r="AYS3" s="525"/>
      <c r="AYT3" s="525"/>
      <c r="AYU3" s="525"/>
      <c r="AYV3" s="525"/>
      <c r="AYW3" s="525"/>
      <c r="AYX3" s="525"/>
      <c r="AYY3" s="525"/>
      <c r="AYZ3" s="525"/>
      <c r="AZA3" s="525"/>
      <c r="AZB3" s="525"/>
      <c r="AZC3" s="525"/>
      <c r="AZD3" s="525"/>
      <c r="AZE3" s="525"/>
      <c r="AZF3" s="525"/>
      <c r="AZG3" s="525"/>
      <c r="AZH3" s="525"/>
      <c r="AZI3" s="525"/>
      <c r="AZJ3" s="525"/>
      <c r="AZK3" s="525"/>
      <c r="AZL3" s="525"/>
      <c r="AZM3" s="525"/>
      <c r="AZN3" s="525"/>
      <c r="AZO3" s="525"/>
      <c r="AZP3" s="525"/>
      <c r="AZQ3" s="525"/>
      <c r="AZR3" s="525"/>
      <c r="AZS3" s="525"/>
      <c r="AZT3" s="525"/>
      <c r="AZU3" s="525"/>
      <c r="AZV3" s="525"/>
      <c r="AZW3" s="525"/>
      <c r="AZX3" s="525"/>
      <c r="AZY3" s="525"/>
      <c r="AZZ3" s="525"/>
      <c r="BAA3" s="525"/>
      <c r="BAB3" s="525"/>
      <c r="BAC3" s="525"/>
      <c r="BAD3" s="525"/>
      <c r="BAE3" s="525"/>
      <c r="BAF3" s="525"/>
      <c r="BAG3" s="525"/>
      <c r="BAH3" s="525"/>
      <c r="BAI3" s="525"/>
      <c r="BAJ3" s="525"/>
      <c r="BAK3" s="525"/>
      <c r="BAL3" s="525"/>
      <c r="BAM3" s="525"/>
      <c r="BAN3" s="525"/>
      <c r="BAO3" s="525"/>
      <c r="BAP3" s="525"/>
      <c r="BAQ3" s="525"/>
      <c r="BAR3" s="525"/>
      <c r="BAS3" s="525"/>
      <c r="BAT3" s="525"/>
      <c r="BAU3" s="525"/>
      <c r="BAV3" s="525"/>
      <c r="BAW3" s="525"/>
      <c r="BAX3" s="525"/>
      <c r="BAY3" s="525"/>
      <c r="BAZ3" s="525"/>
      <c r="BBA3" s="525"/>
      <c r="BBB3" s="525"/>
      <c r="BBC3" s="525"/>
      <c r="BBD3" s="525"/>
      <c r="BBE3" s="525"/>
      <c r="BBF3" s="525"/>
      <c r="BBG3" s="525"/>
      <c r="BBH3" s="525"/>
      <c r="BBI3" s="525"/>
      <c r="BBJ3" s="525"/>
      <c r="BBK3" s="525"/>
      <c r="BBL3" s="525"/>
      <c r="BBM3" s="525"/>
      <c r="BBN3" s="525"/>
      <c r="BBO3" s="525"/>
      <c r="BBP3" s="525"/>
      <c r="BBQ3" s="525"/>
      <c r="BBR3" s="525"/>
      <c r="BBS3" s="525"/>
      <c r="BBT3" s="525"/>
      <c r="BBU3" s="525"/>
      <c r="BBV3" s="525"/>
      <c r="BBW3" s="525"/>
      <c r="BBX3" s="525"/>
      <c r="BBY3" s="525"/>
      <c r="BBZ3" s="525"/>
      <c r="BCA3" s="525"/>
      <c r="BCB3" s="525"/>
      <c r="BCC3" s="525"/>
      <c r="BCD3" s="525"/>
      <c r="BCE3" s="525"/>
      <c r="BCF3" s="525"/>
      <c r="BCG3" s="525"/>
      <c r="BCH3" s="525"/>
      <c r="BCI3" s="525"/>
      <c r="BCJ3" s="525"/>
      <c r="BCK3" s="525"/>
      <c r="BCL3" s="525"/>
      <c r="BCM3" s="525"/>
      <c r="BCN3" s="525"/>
      <c r="BCO3" s="525"/>
      <c r="BCP3" s="525"/>
      <c r="BCQ3" s="525"/>
      <c r="BCR3" s="525"/>
      <c r="BCS3" s="525"/>
      <c r="BCT3" s="525"/>
      <c r="BCU3" s="525"/>
      <c r="BCV3" s="525"/>
      <c r="BCW3" s="525"/>
      <c r="BCX3" s="525"/>
      <c r="BCY3" s="525"/>
      <c r="BCZ3" s="525"/>
      <c r="BDA3" s="525"/>
      <c r="BDB3" s="525"/>
      <c r="BDC3" s="525"/>
      <c r="BDD3" s="525"/>
      <c r="BDE3" s="525"/>
      <c r="BDF3" s="525"/>
      <c r="BDG3" s="525"/>
      <c r="BDH3" s="525"/>
      <c r="BDI3" s="525"/>
      <c r="BDJ3" s="525"/>
      <c r="BDK3" s="525"/>
      <c r="BDL3" s="525"/>
      <c r="BDM3" s="525"/>
      <c r="BDN3" s="525"/>
      <c r="BDO3" s="525"/>
      <c r="BDP3" s="525"/>
      <c r="BDQ3" s="525"/>
      <c r="BDR3" s="525"/>
      <c r="BDS3" s="525"/>
      <c r="BDT3" s="525"/>
      <c r="BDU3" s="525"/>
      <c r="BDV3" s="525"/>
      <c r="BDW3" s="525"/>
      <c r="BDX3" s="525"/>
      <c r="BDY3" s="525"/>
      <c r="BDZ3" s="525"/>
      <c r="BEA3" s="525"/>
      <c r="BEB3" s="525"/>
      <c r="BEC3" s="525"/>
      <c r="BED3" s="525"/>
      <c r="BEE3" s="525"/>
      <c r="BEF3" s="525"/>
      <c r="BEG3" s="525"/>
      <c r="BEH3" s="525"/>
      <c r="BEI3" s="525"/>
      <c r="BEJ3" s="525"/>
      <c r="BEK3" s="525"/>
      <c r="BEL3" s="525"/>
      <c r="BEM3" s="525"/>
      <c r="BEN3" s="525"/>
      <c r="BEO3" s="525"/>
      <c r="BEP3" s="525"/>
      <c r="BEQ3" s="525"/>
      <c r="BER3" s="525"/>
      <c r="BES3" s="525"/>
      <c r="BET3" s="525"/>
      <c r="BEU3" s="525"/>
      <c r="BEV3" s="525"/>
      <c r="BEW3" s="525"/>
      <c r="BEX3" s="525"/>
      <c r="BEY3" s="525"/>
      <c r="BEZ3" s="525"/>
      <c r="BFA3" s="525"/>
      <c r="BFB3" s="525"/>
      <c r="BFC3" s="525"/>
      <c r="BFD3" s="525"/>
      <c r="BFE3" s="525"/>
      <c r="BFF3" s="525"/>
      <c r="BFG3" s="525"/>
      <c r="BFH3" s="525"/>
      <c r="BFI3" s="525"/>
      <c r="BFJ3" s="525"/>
      <c r="BFK3" s="525"/>
      <c r="BFL3" s="525"/>
      <c r="BFM3" s="525"/>
      <c r="BFN3" s="525"/>
      <c r="BFO3" s="525"/>
      <c r="BFP3" s="525"/>
      <c r="BFQ3" s="525"/>
      <c r="BFR3" s="525"/>
      <c r="BFS3" s="525"/>
      <c r="BFT3" s="525"/>
      <c r="BFU3" s="525"/>
      <c r="BFV3" s="525"/>
      <c r="BFW3" s="525"/>
      <c r="BFX3" s="525"/>
      <c r="BFY3" s="525"/>
      <c r="BFZ3" s="525"/>
      <c r="BGA3" s="525"/>
      <c r="BGB3" s="525"/>
      <c r="BGC3" s="525"/>
      <c r="BGD3" s="525"/>
      <c r="BGE3" s="525"/>
      <c r="BGF3" s="525"/>
      <c r="BGG3" s="525"/>
      <c r="BGH3" s="525"/>
      <c r="BGI3" s="525"/>
      <c r="BGJ3" s="525"/>
      <c r="BGK3" s="525"/>
      <c r="BGL3" s="525"/>
      <c r="BGM3" s="525"/>
      <c r="BGN3" s="525"/>
      <c r="BGO3" s="525"/>
      <c r="BGP3" s="525"/>
      <c r="BGQ3" s="525"/>
      <c r="BGR3" s="525"/>
      <c r="BGS3" s="525"/>
      <c r="BGT3" s="525"/>
      <c r="BGU3" s="525"/>
      <c r="BGV3" s="525"/>
      <c r="BGW3" s="525"/>
      <c r="BGX3" s="525"/>
      <c r="BGY3" s="525"/>
      <c r="BGZ3" s="525"/>
      <c r="BHA3" s="525"/>
      <c r="BHB3" s="525"/>
      <c r="BHC3" s="525"/>
      <c r="BHD3" s="525"/>
      <c r="BHE3" s="525"/>
      <c r="BHF3" s="525"/>
      <c r="BHG3" s="525"/>
      <c r="BHH3" s="525"/>
      <c r="BHI3" s="525"/>
      <c r="BHJ3" s="525"/>
      <c r="BHK3" s="525"/>
      <c r="BHL3" s="525"/>
      <c r="BHM3" s="525"/>
      <c r="BHN3" s="525"/>
      <c r="BHO3" s="525"/>
      <c r="BHP3" s="525"/>
      <c r="BHQ3" s="525"/>
      <c r="BHR3" s="525"/>
      <c r="BHS3" s="525"/>
      <c r="BHT3" s="525"/>
      <c r="BHU3" s="525"/>
      <c r="BHV3" s="525"/>
      <c r="BHW3" s="525"/>
      <c r="BHX3" s="525"/>
      <c r="BHY3" s="525"/>
      <c r="BHZ3" s="525"/>
      <c r="BIA3" s="525"/>
      <c r="BIB3" s="525"/>
      <c r="BIC3" s="525"/>
      <c r="BID3" s="525"/>
      <c r="BIE3" s="525"/>
      <c r="BIF3" s="525"/>
      <c r="BIG3" s="525"/>
      <c r="BIH3" s="525"/>
      <c r="BII3" s="525"/>
      <c r="BIJ3" s="525"/>
      <c r="BIK3" s="525"/>
      <c r="BIL3" s="525"/>
      <c r="BIM3" s="525"/>
      <c r="BIN3" s="525"/>
      <c r="BIO3" s="525"/>
      <c r="BIP3" s="525"/>
      <c r="BIQ3" s="525"/>
      <c r="BIR3" s="525"/>
      <c r="BIS3" s="525"/>
      <c r="BIT3" s="525"/>
      <c r="BIU3" s="525"/>
      <c r="BIV3" s="525"/>
      <c r="BIW3" s="525"/>
      <c r="BIX3" s="525"/>
      <c r="BIY3" s="525"/>
      <c r="BIZ3" s="525"/>
      <c r="BJA3" s="525"/>
      <c r="BJB3" s="525"/>
      <c r="BJC3" s="525"/>
      <c r="BJD3" s="525"/>
      <c r="BJE3" s="525"/>
      <c r="BJF3" s="525"/>
      <c r="BJG3" s="525"/>
      <c r="BJH3" s="525"/>
      <c r="BJI3" s="525"/>
      <c r="BJJ3" s="525"/>
      <c r="BJK3" s="525"/>
      <c r="BJL3" s="525"/>
      <c r="BJM3" s="525"/>
      <c r="BJN3" s="525"/>
      <c r="BJO3" s="525"/>
      <c r="BJP3" s="525"/>
      <c r="BJQ3" s="525"/>
      <c r="BJR3" s="525"/>
      <c r="BJS3" s="525"/>
      <c r="BJT3" s="525"/>
      <c r="BJU3" s="525"/>
      <c r="BJV3" s="525"/>
      <c r="BJW3" s="525"/>
      <c r="BJX3" s="525"/>
      <c r="BJY3" s="525"/>
      <c r="BJZ3" s="525"/>
      <c r="BKA3" s="525"/>
      <c r="BKB3" s="525"/>
      <c r="BKC3" s="525"/>
      <c r="BKD3" s="525"/>
      <c r="BKE3" s="525"/>
      <c r="BKF3" s="525"/>
      <c r="BKG3" s="525"/>
      <c r="BKH3" s="525"/>
      <c r="BKI3" s="525"/>
      <c r="BKJ3" s="525"/>
      <c r="BKK3" s="525"/>
      <c r="BKL3" s="525"/>
      <c r="BKM3" s="525"/>
      <c r="BKN3" s="525"/>
      <c r="BKO3" s="525"/>
      <c r="BKP3" s="525"/>
      <c r="BKQ3" s="525"/>
      <c r="BKR3" s="525"/>
      <c r="BKS3" s="525"/>
      <c r="BKT3" s="525"/>
      <c r="BKU3" s="525"/>
      <c r="BKV3" s="525"/>
      <c r="BKW3" s="525"/>
      <c r="BKX3" s="525"/>
      <c r="BKY3" s="525"/>
      <c r="BKZ3" s="525"/>
      <c r="BLA3" s="525"/>
      <c r="BLB3" s="525"/>
      <c r="BLC3" s="525"/>
      <c r="BLD3" s="525"/>
      <c r="BLE3" s="525"/>
      <c r="BLF3" s="525"/>
      <c r="BLG3" s="525"/>
      <c r="BLH3" s="525"/>
      <c r="BLI3" s="525"/>
      <c r="BLJ3" s="525"/>
      <c r="BLK3" s="525"/>
      <c r="BLL3" s="525"/>
      <c r="BLM3" s="525"/>
      <c r="BLN3" s="525"/>
      <c r="BLO3" s="525"/>
      <c r="BLP3" s="525"/>
      <c r="BLQ3" s="525"/>
      <c r="BLR3" s="525"/>
      <c r="BLS3" s="525"/>
      <c r="BLT3" s="525"/>
      <c r="BLU3" s="525"/>
      <c r="BLV3" s="525"/>
      <c r="BLW3" s="525"/>
      <c r="BLX3" s="525"/>
      <c r="BLY3" s="525"/>
      <c r="BLZ3" s="525"/>
      <c r="BMA3" s="525"/>
      <c r="BMB3" s="525"/>
      <c r="BMC3" s="525"/>
      <c r="BMD3" s="525"/>
      <c r="BME3" s="525"/>
      <c r="BMF3" s="525"/>
      <c r="BMG3" s="525"/>
      <c r="BMH3" s="525"/>
      <c r="BMI3" s="525"/>
      <c r="BMJ3" s="525"/>
      <c r="BMK3" s="525"/>
      <c r="BML3" s="525"/>
      <c r="BMM3" s="525"/>
      <c r="BMN3" s="525"/>
      <c r="BMO3" s="525"/>
      <c r="BMP3" s="525"/>
      <c r="BMQ3" s="525"/>
      <c r="BMR3" s="525"/>
      <c r="BMS3" s="525"/>
      <c r="BMT3" s="525"/>
      <c r="BMU3" s="525"/>
      <c r="BMV3" s="525"/>
      <c r="BMW3" s="525"/>
      <c r="BMX3" s="525"/>
      <c r="BMY3" s="525"/>
      <c r="BMZ3" s="525"/>
      <c r="BNA3" s="525"/>
      <c r="BNB3" s="525"/>
      <c r="BNC3" s="525"/>
      <c r="BND3" s="525"/>
      <c r="BNE3" s="525"/>
      <c r="BNF3" s="525"/>
      <c r="BNG3" s="525"/>
      <c r="BNH3" s="525"/>
      <c r="BNI3" s="525"/>
      <c r="BNJ3" s="525"/>
      <c r="BNK3" s="525"/>
      <c r="BNL3" s="525"/>
      <c r="BNM3" s="525"/>
      <c r="BNN3" s="525"/>
      <c r="BNO3" s="525"/>
      <c r="BNP3" s="525"/>
      <c r="BNQ3" s="525"/>
      <c r="BNR3" s="525"/>
      <c r="BNS3" s="525"/>
      <c r="BNT3" s="525"/>
      <c r="BNU3" s="525"/>
      <c r="BNV3" s="525"/>
      <c r="BNW3" s="525"/>
      <c r="BNX3" s="525"/>
      <c r="BNY3" s="525"/>
      <c r="BNZ3" s="525"/>
      <c r="BOA3" s="525"/>
      <c r="BOB3" s="525"/>
      <c r="BOC3" s="525"/>
      <c r="BOD3" s="525"/>
      <c r="BOE3" s="525"/>
      <c r="BOF3" s="525"/>
      <c r="BOG3" s="525"/>
      <c r="BOH3" s="525"/>
      <c r="BOI3" s="525"/>
      <c r="BOJ3" s="525"/>
      <c r="BOK3" s="525"/>
      <c r="BOL3" s="525"/>
      <c r="BOM3" s="525"/>
      <c r="BON3" s="525"/>
      <c r="BOO3" s="525"/>
      <c r="BOP3" s="525"/>
      <c r="BOQ3" s="525"/>
      <c r="BOR3" s="525"/>
      <c r="BOS3" s="525"/>
      <c r="BOT3" s="525"/>
      <c r="BOU3" s="525"/>
      <c r="BOV3" s="525"/>
      <c r="BOW3" s="525"/>
      <c r="BOX3" s="525"/>
      <c r="BOY3" s="525"/>
      <c r="BOZ3" s="525"/>
      <c r="BPA3" s="525"/>
      <c r="BPB3" s="525"/>
      <c r="BPC3" s="525"/>
      <c r="BPD3" s="525"/>
      <c r="BPE3" s="525"/>
      <c r="BPF3" s="525"/>
      <c r="BPG3" s="525"/>
      <c r="BPH3" s="525"/>
      <c r="BPI3" s="525"/>
      <c r="BPJ3" s="525"/>
      <c r="BPK3" s="525"/>
      <c r="BPL3" s="525"/>
      <c r="BPM3" s="525"/>
      <c r="BPN3" s="525"/>
      <c r="BPO3" s="525"/>
      <c r="BPP3" s="525"/>
      <c r="BPQ3" s="525"/>
      <c r="BPR3" s="525"/>
      <c r="BPS3" s="525"/>
      <c r="BPT3" s="525"/>
      <c r="BPU3" s="525"/>
      <c r="BPV3" s="525"/>
      <c r="BPW3" s="525"/>
      <c r="BPX3" s="525"/>
      <c r="BPY3" s="525"/>
      <c r="BPZ3" s="525"/>
      <c r="BQA3" s="525"/>
      <c r="BQB3" s="525"/>
      <c r="BQC3" s="525"/>
      <c r="BQD3" s="525"/>
      <c r="BQE3" s="525"/>
      <c r="BQF3" s="525"/>
      <c r="BQG3" s="525"/>
      <c r="BQH3" s="525"/>
      <c r="BQI3" s="525"/>
      <c r="BQJ3" s="525"/>
      <c r="BQK3" s="525"/>
      <c r="BQL3" s="525"/>
      <c r="BQM3" s="525"/>
      <c r="BQN3" s="525"/>
      <c r="BQO3" s="525"/>
      <c r="BQP3" s="525"/>
      <c r="BQQ3" s="525"/>
      <c r="BQR3" s="525"/>
      <c r="BQS3" s="525"/>
      <c r="BQT3" s="525"/>
      <c r="BQU3" s="525"/>
      <c r="BQV3" s="525"/>
      <c r="BQW3" s="525"/>
      <c r="BQX3" s="525"/>
      <c r="BQY3" s="525"/>
      <c r="BQZ3" s="525"/>
      <c r="BRA3" s="525"/>
      <c r="BRB3" s="525"/>
      <c r="BRC3" s="525"/>
      <c r="BRD3" s="525"/>
      <c r="BRE3" s="525"/>
      <c r="BRF3" s="525"/>
      <c r="BRG3" s="525"/>
      <c r="BRH3" s="525"/>
      <c r="BRI3" s="525"/>
      <c r="BRJ3" s="525"/>
      <c r="BRK3" s="525"/>
      <c r="BRL3" s="525"/>
      <c r="BRM3" s="525"/>
      <c r="BRN3" s="525"/>
      <c r="BRO3" s="525"/>
      <c r="BRP3" s="525"/>
      <c r="BRQ3" s="525"/>
      <c r="BRR3" s="525"/>
      <c r="BRS3" s="525"/>
      <c r="BRT3" s="525"/>
      <c r="BRU3" s="525"/>
      <c r="BRV3" s="525"/>
      <c r="BRW3" s="525"/>
      <c r="BRX3" s="525"/>
      <c r="BRY3" s="525"/>
      <c r="BRZ3" s="525"/>
      <c r="BSA3" s="525"/>
      <c r="BSB3" s="525"/>
      <c r="BSC3" s="525"/>
      <c r="BSD3" s="525"/>
      <c r="BSE3" s="525"/>
      <c r="BSF3" s="525"/>
      <c r="BSG3" s="525"/>
      <c r="BSH3" s="525"/>
      <c r="BSI3" s="525"/>
      <c r="BSJ3" s="525"/>
      <c r="BSK3" s="525"/>
      <c r="BSL3" s="525"/>
      <c r="BSM3" s="525"/>
      <c r="BSN3" s="525"/>
      <c r="BSO3" s="525"/>
      <c r="BSP3" s="525"/>
      <c r="BSQ3" s="525"/>
      <c r="BSR3" s="525"/>
      <c r="BSS3" s="525"/>
      <c r="BST3" s="525"/>
      <c r="BSU3" s="525"/>
      <c r="BSV3" s="525"/>
      <c r="BSW3" s="525"/>
      <c r="BSX3" s="525"/>
      <c r="BSY3" s="525"/>
      <c r="BSZ3" s="525"/>
      <c r="BTA3" s="525"/>
      <c r="BTB3" s="525"/>
      <c r="BTC3" s="525"/>
      <c r="BTD3" s="525"/>
      <c r="BTE3" s="525"/>
      <c r="BTF3" s="525"/>
      <c r="BTG3" s="525"/>
      <c r="BTH3" s="525"/>
      <c r="BTI3" s="525"/>
      <c r="BTJ3" s="525"/>
      <c r="BTK3" s="525"/>
      <c r="BTL3" s="525"/>
      <c r="BTM3" s="525"/>
      <c r="BTN3" s="525"/>
      <c r="BTO3" s="525"/>
      <c r="BTP3" s="525"/>
      <c r="BTQ3" s="525"/>
      <c r="BTR3" s="525"/>
      <c r="BTS3" s="525"/>
      <c r="BTT3" s="525"/>
      <c r="BTU3" s="525"/>
      <c r="BTV3" s="525"/>
      <c r="BTW3" s="525"/>
      <c r="BTX3" s="525"/>
      <c r="BTY3" s="525"/>
      <c r="BTZ3" s="525"/>
      <c r="BUA3" s="525"/>
      <c r="BUB3" s="525"/>
      <c r="BUC3" s="525"/>
      <c r="BUD3" s="525"/>
      <c r="BUE3" s="525"/>
      <c r="BUF3" s="525"/>
      <c r="BUG3" s="525"/>
      <c r="BUH3" s="525"/>
      <c r="BUI3" s="525"/>
      <c r="BUJ3" s="525"/>
      <c r="BUK3" s="525"/>
      <c r="BUL3" s="525"/>
      <c r="BUM3" s="525"/>
      <c r="BUN3" s="525"/>
      <c r="BUO3" s="525"/>
      <c r="BUP3" s="525"/>
      <c r="BUQ3" s="525"/>
      <c r="BUR3" s="525"/>
      <c r="BUS3" s="525"/>
      <c r="BUT3" s="525"/>
      <c r="BUU3" s="525"/>
      <c r="BUV3" s="525"/>
      <c r="BUW3" s="525"/>
      <c r="BUX3" s="525"/>
      <c r="BUY3" s="525"/>
      <c r="BUZ3" s="525"/>
      <c r="BVA3" s="525"/>
      <c r="BVB3" s="525"/>
      <c r="BVC3" s="525"/>
      <c r="BVD3" s="525"/>
      <c r="BVE3" s="525"/>
      <c r="BVF3" s="525"/>
      <c r="BVG3" s="525"/>
      <c r="BVH3" s="525"/>
      <c r="BVI3" s="525"/>
      <c r="BVJ3" s="525"/>
      <c r="BVK3" s="525"/>
      <c r="BVL3" s="525"/>
      <c r="BVM3" s="525"/>
      <c r="BVN3" s="525"/>
      <c r="BVO3" s="525"/>
      <c r="BVP3" s="525"/>
      <c r="BVQ3" s="525"/>
      <c r="BVR3" s="525"/>
      <c r="BVS3" s="525"/>
      <c r="BVT3" s="525"/>
      <c r="BVU3" s="525"/>
      <c r="BVV3" s="525"/>
      <c r="BVW3" s="525"/>
      <c r="BVX3" s="525"/>
      <c r="BVY3" s="525"/>
      <c r="BVZ3" s="525"/>
      <c r="BWA3" s="525"/>
      <c r="BWB3" s="525"/>
      <c r="BWC3" s="525"/>
      <c r="BWD3" s="525"/>
      <c r="BWE3" s="525"/>
      <c r="BWF3" s="525"/>
      <c r="BWG3" s="525"/>
      <c r="BWH3" s="525"/>
      <c r="BWI3" s="525"/>
      <c r="BWJ3" s="525"/>
      <c r="BWK3" s="525"/>
      <c r="BWL3" s="525"/>
      <c r="BWM3" s="525"/>
      <c r="BWN3" s="525"/>
      <c r="BWO3" s="525"/>
      <c r="BWP3" s="525"/>
      <c r="BWQ3" s="525"/>
      <c r="BWR3" s="525"/>
      <c r="BWS3" s="525"/>
      <c r="BWT3" s="525"/>
      <c r="BWU3" s="525"/>
      <c r="BWV3" s="525"/>
      <c r="BWW3" s="525"/>
      <c r="BWX3" s="525"/>
      <c r="BWY3" s="525"/>
      <c r="BWZ3" s="525"/>
      <c r="BXA3" s="525"/>
      <c r="BXB3" s="525"/>
      <c r="BXC3" s="525"/>
      <c r="BXD3" s="525"/>
      <c r="BXE3" s="525"/>
      <c r="BXF3" s="525"/>
      <c r="BXG3" s="525"/>
      <c r="BXH3" s="525"/>
      <c r="BXI3" s="525"/>
      <c r="BXJ3" s="525"/>
      <c r="BXK3" s="525"/>
      <c r="BXL3" s="525"/>
      <c r="BXM3" s="525"/>
      <c r="BXN3" s="525"/>
      <c r="BXO3" s="525"/>
      <c r="BXP3" s="525"/>
      <c r="BXQ3" s="525"/>
      <c r="BXR3" s="525"/>
      <c r="BXS3" s="525"/>
      <c r="BXT3" s="525"/>
      <c r="BXU3" s="525"/>
      <c r="BXV3" s="525"/>
      <c r="BXW3" s="525"/>
      <c r="BXX3" s="525"/>
      <c r="BXY3" s="525"/>
      <c r="BXZ3" s="525"/>
      <c r="BYA3" s="525"/>
      <c r="BYB3" s="525"/>
      <c r="BYC3" s="525"/>
      <c r="BYD3" s="525"/>
      <c r="BYE3" s="525"/>
      <c r="BYF3" s="525"/>
      <c r="BYG3" s="525"/>
      <c r="BYH3" s="525"/>
      <c r="BYI3" s="525"/>
      <c r="BYJ3" s="525"/>
      <c r="BYK3" s="525"/>
      <c r="BYL3" s="525"/>
      <c r="BYM3" s="525"/>
      <c r="BYN3" s="525"/>
      <c r="BYO3" s="525"/>
      <c r="BYP3" s="525"/>
      <c r="BYQ3" s="525"/>
      <c r="BYR3" s="525"/>
      <c r="BYS3" s="525"/>
      <c r="BYT3" s="525"/>
      <c r="BYU3" s="525"/>
      <c r="BYV3" s="525"/>
      <c r="BYW3" s="525"/>
      <c r="BYX3" s="525"/>
      <c r="BYY3" s="525"/>
      <c r="BYZ3" s="525"/>
      <c r="BZA3" s="525"/>
      <c r="BZB3" s="525"/>
      <c r="BZC3" s="525"/>
      <c r="BZD3" s="525"/>
      <c r="BZE3" s="525"/>
      <c r="BZF3" s="525"/>
      <c r="BZG3" s="525"/>
      <c r="BZH3" s="525"/>
      <c r="BZI3" s="525"/>
      <c r="BZJ3" s="525"/>
      <c r="BZK3" s="525"/>
      <c r="BZL3" s="525"/>
      <c r="BZM3" s="525"/>
      <c r="BZN3" s="525"/>
      <c r="BZO3" s="525"/>
      <c r="BZP3" s="525"/>
      <c r="BZQ3" s="525"/>
      <c r="BZR3" s="525"/>
      <c r="BZS3" s="525"/>
      <c r="BZT3" s="525"/>
      <c r="BZU3" s="525"/>
      <c r="BZV3" s="525"/>
      <c r="BZW3" s="525"/>
      <c r="BZX3" s="525"/>
      <c r="BZY3" s="525"/>
      <c r="BZZ3" s="525"/>
      <c r="CAA3" s="525"/>
      <c r="CAB3" s="525"/>
      <c r="CAC3" s="525"/>
      <c r="CAD3" s="525"/>
      <c r="CAE3" s="525"/>
      <c r="CAF3" s="525"/>
      <c r="CAG3" s="525"/>
      <c r="CAH3" s="525"/>
      <c r="CAI3" s="525"/>
      <c r="CAJ3" s="525"/>
      <c r="CAK3" s="525"/>
      <c r="CAL3" s="525"/>
      <c r="CAM3" s="525"/>
      <c r="CAN3" s="525"/>
      <c r="CAO3" s="525"/>
      <c r="CAP3" s="525"/>
      <c r="CAQ3" s="525"/>
      <c r="CAR3" s="525"/>
      <c r="CAS3" s="525"/>
      <c r="CAT3" s="525"/>
      <c r="CAU3" s="525"/>
      <c r="CAV3" s="525"/>
      <c r="CAW3" s="525"/>
      <c r="CAX3" s="525"/>
      <c r="CAY3" s="525"/>
      <c r="CAZ3" s="525"/>
      <c r="CBA3" s="525"/>
      <c r="CBB3" s="525"/>
      <c r="CBC3" s="525"/>
      <c r="CBD3" s="525"/>
      <c r="CBE3" s="525"/>
      <c r="CBF3" s="525"/>
      <c r="CBG3" s="525"/>
      <c r="CBH3" s="525"/>
      <c r="CBI3" s="525"/>
      <c r="CBJ3" s="525"/>
      <c r="CBK3" s="525"/>
      <c r="CBL3" s="525"/>
      <c r="CBM3" s="525"/>
      <c r="CBN3" s="525"/>
      <c r="CBO3" s="525"/>
      <c r="CBP3" s="525"/>
      <c r="CBQ3" s="525"/>
      <c r="CBR3" s="525"/>
      <c r="CBS3" s="525"/>
      <c r="CBT3" s="525"/>
      <c r="CBU3" s="525"/>
      <c r="CBV3" s="525"/>
      <c r="CBW3" s="525"/>
      <c r="CBX3" s="525"/>
      <c r="CBY3" s="525"/>
      <c r="CBZ3" s="525"/>
      <c r="CCA3" s="525"/>
      <c r="CCB3" s="525"/>
      <c r="CCC3" s="525"/>
      <c r="CCD3" s="525"/>
      <c r="CCE3" s="525"/>
      <c r="CCF3" s="525"/>
      <c r="CCG3" s="525"/>
      <c r="CCH3" s="525"/>
      <c r="CCI3" s="525"/>
      <c r="CCJ3" s="525"/>
      <c r="CCK3" s="525"/>
      <c r="CCL3" s="525"/>
      <c r="CCM3" s="525"/>
      <c r="CCN3" s="525"/>
      <c r="CCO3" s="525"/>
      <c r="CCP3" s="525"/>
      <c r="CCQ3" s="525"/>
      <c r="CCR3" s="525"/>
      <c r="CCS3" s="525"/>
      <c r="CCT3" s="525"/>
      <c r="CCU3" s="525"/>
      <c r="CCV3" s="525"/>
      <c r="CCW3" s="525"/>
      <c r="CCX3" s="525"/>
      <c r="CCY3" s="525"/>
      <c r="CCZ3" s="525"/>
      <c r="CDA3" s="525"/>
      <c r="CDB3" s="525"/>
      <c r="CDC3" s="525"/>
      <c r="CDD3" s="525"/>
      <c r="CDE3" s="525"/>
      <c r="CDF3" s="525"/>
      <c r="CDG3" s="525"/>
      <c r="CDH3" s="525"/>
      <c r="CDI3" s="525"/>
      <c r="CDJ3" s="525"/>
      <c r="CDK3" s="525"/>
      <c r="CDL3" s="525"/>
      <c r="CDM3" s="525"/>
      <c r="CDN3" s="525"/>
      <c r="CDO3" s="525"/>
      <c r="CDP3" s="525"/>
      <c r="CDQ3" s="525"/>
      <c r="CDR3" s="525"/>
      <c r="CDS3" s="525"/>
      <c r="CDT3" s="525"/>
      <c r="CDU3" s="525"/>
      <c r="CDV3" s="525"/>
      <c r="CDW3" s="525"/>
      <c r="CDX3" s="525"/>
      <c r="CDY3" s="525"/>
      <c r="CDZ3" s="525"/>
      <c r="CEA3" s="525"/>
      <c r="CEB3" s="525"/>
      <c r="CEC3" s="525"/>
      <c r="CED3" s="525"/>
      <c r="CEE3" s="525"/>
      <c r="CEF3" s="525"/>
      <c r="CEG3" s="525"/>
      <c r="CEH3" s="525"/>
      <c r="CEI3" s="525"/>
      <c r="CEJ3" s="525"/>
      <c r="CEK3" s="525"/>
      <c r="CEL3" s="525"/>
      <c r="CEM3" s="525"/>
      <c r="CEN3" s="525"/>
      <c r="CEO3" s="525"/>
      <c r="CEP3" s="525"/>
      <c r="CEQ3" s="525"/>
      <c r="CER3" s="525"/>
      <c r="CES3" s="525"/>
      <c r="CET3" s="525"/>
      <c r="CEU3" s="525"/>
      <c r="CEV3" s="525"/>
      <c r="CEW3" s="525"/>
      <c r="CEX3" s="525"/>
      <c r="CEY3" s="525"/>
      <c r="CEZ3" s="525"/>
      <c r="CFA3" s="525"/>
      <c r="CFB3" s="525"/>
      <c r="CFC3" s="525"/>
      <c r="CFD3" s="525"/>
      <c r="CFE3" s="525"/>
      <c r="CFF3" s="525"/>
      <c r="CFG3" s="525"/>
      <c r="CFH3" s="525"/>
      <c r="CFI3" s="525"/>
      <c r="CFJ3" s="525"/>
      <c r="CFK3" s="525"/>
      <c r="CFL3" s="525"/>
      <c r="CFM3" s="525"/>
      <c r="CFN3" s="525"/>
      <c r="CFO3" s="525"/>
      <c r="CFP3" s="525"/>
      <c r="CFQ3" s="525"/>
      <c r="CFR3" s="525"/>
      <c r="CFS3" s="525"/>
      <c r="CFT3" s="525"/>
      <c r="CFU3" s="525"/>
      <c r="CFV3" s="525"/>
      <c r="CFW3" s="525"/>
      <c r="CFX3" s="525"/>
      <c r="CFY3" s="525"/>
      <c r="CFZ3" s="525"/>
      <c r="CGA3" s="525"/>
      <c r="CGB3" s="525"/>
      <c r="CGC3" s="525"/>
      <c r="CGD3" s="525"/>
      <c r="CGE3" s="525"/>
      <c r="CGF3" s="525"/>
      <c r="CGG3" s="525"/>
      <c r="CGH3" s="525"/>
      <c r="CGI3" s="525"/>
      <c r="CGJ3" s="525"/>
      <c r="CGK3" s="525"/>
      <c r="CGL3" s="525"/>
      <c r="CGM3" s="525"/>
      <c r="CGN3" s="525"/>
      <c r="CGO3" s="525"/>
      <c r="CGP3" s="525"/>
      <c r="CGQ3" s="525"/>
      <c r="CGR3" s="525"/>
      <c r="CGS3" s="525"/>
      <c r="CGT3" s="525"/>
      <c r="CGU3" s="525"/>
      <c r="CGV3" s="525"/>
      <c r="CGW3" s="525"/>
      <c r="CGX3" s="525"/>
      <c r="CGY3" s="525"/>
      <c r="CGZ3" s="525"/>
      <c r="CHA3" s="525"/>
      <c r="CHB3" s="525"/>
      <c r="CHC3" s="525"/>
      <c r="CHD3" s="525"/>
      <c r="CHE3" s="525"/>
      <c r="CHF3" s="525"/>
      <c r="CHG3" s="525"/>
      <c r="CHH3" s="525"/>
      <c r="CHI3" s="525"/>
      <c r="CHJ3" s="525"/>
      <c r="CHK3" s="525"/>
      <c r="CHL3" s="525"/>
      <c r="CHM3" s="525"/>
      <c r="CHN3" s="525"/>
      <c r="CHO3" s="525"/>
      <c r="CHP3" s="525"/>
      <c r="CHQ3" s="525"/>
      <c r="CHR3" s="525"/>
      <c r="CHS3" s="525"/>
      <c r="CHT3" s="525"/>
      <c r="CHU3" s="525"/>
      <c r="CHV3" s="525"/>
      <c r="CHW3" s="525"/>
      <c r="CHX3" s="525"/>
      <c r="CHY3" s="525"/>
      <c r="CHZ3" s="525"/>
      <c r="CIA3" s="525"/>
      <c r="CIB3" s="525"/>
      <c r="CIC3" s="525"/>
      <c r="CID3" s="525"/>
      <c r="CIE3" s="525"/>
      <c r="CIF3" s="525"/>
      <c r="CIG3" s="525"/>
      <c r="CIH3" s="525"/>
      <c r="CII3" s="525"/>
      <c r="CIJ3" s="525"/>
      <c r="CIK3" s="525"/>
      <c r="CIL3" s="525"/>
      <c r="CIM3" s="525"/>
      <c r="CIN3" s="525"/>
      <c r="CIO3" s="525"/>
      <c r="CIP3" s="525"/>
      <c r="CIQ3" s="525"/>
      <c r="CIR3" s="525"/>
      <c r="CIS3" s="525"/>
      <c r="CIT3" s="525"/>
      <c r="CIU3" s="525"/>
      <c r="CIV3" s="525"/>
      <c r="CIW3" s="525"/>
      <c r="CIX3" s="525"/>
      <c r="CIY3" s="525"/>
      <c r="CIZ3" s="525"/>
      <c r="CJA3" s="525"/>
      <c r="CJB3" s="525"/>
      <c r="CJC3" s="525"/>
      <c r="CJD3" s="525"/>
      <c r="CJE3" s="525"/>
      <c r="CJF3" s="525"/>
      <c r="CJG3" s="525"/>
      <c r="CJH3" s="525"/>
      <c r="CJI3" s="525"/>
      <c r="CJJ3" s="525"/>
      <c r="CJK3" s="525"/>
      <c r="CJL3" s="525"/>
      <c r="CJM3" s="525"/>
      <c r="CJN3" s="525"/>
      <c r="CJO3" s="525"/>
      <c r="CJP3" s="525"/>
      <c r="CJQ3" s="525"/>
      <c r="CJR3" s="525"/>
      <c r="CJS3" s="525"/>
      <c r="CJT3" s="525"/>
      <c r="CJU3" s="525"/>
      <c r="CJV3" s="525"/>
      <c r="CJW3" s="525"/>
      <c r="CJX3" s="525"/>
      <c r="CJY3" s="525"/>
      <c r="CJZ3" s="525"/>
      <c r="CKA3" s="525"/>
      <c r="CKB3" s="525"/>
      <c r="CKC3" s="525"/>
      <c r="CKD3" s="525"/>
      <c r="CKE3" s="525"/>
      <c r="CKF3" s="525"/>
      <c r="CKG3" s="525"/>
      <c r="CKH3" s="525"/>
      <c r="CKI3" s="525"/>
      <c r="CKJ3" s="525"/>
      <c r="CKK3" s="525"/>
      <c r="CKL3" s="525"/>
      <c r="CKM3" s="525"/>
      <c r="CKN3" s="525"/>
      <c r="CKO3" s="525"/>
      <c r="CKP3" s="525"/>
      <c r="CKQ3" s="525"/>
      <c r="CKR3" s="525"/>
      <c r="CKS3" s="525"/>
      <c r="CKT3" s="525"/>
      <c r="CKU3" s="525"/>
      <c r="CKV3" s="525"/>
      <c r="CKW3" s="525"/>
      <c r="CKX3" s="525"/>
      <c r="CKY3" s="525"/>
      <c r="CKZ3" s="525"/>
      <c r="CLA3" s="525"/>
      <c r="CLB3" s="525"/>
      <c r="CLC3" s="525"/>
      <c r="CLD3" s="525"/>
      <c r="CLE3" s="525"/>
      <c r="CLF3" s="525"/>
      <c r="CLG3" s="525"/>
      <c r="CLH3" s="525"/>
      <c r="CLI3" s="525"/>
      <c r="CLJ3" s="525"/>
      <c r="CLK3" s="525"/>
      <c r="CLL3" s="525"/>
      <c r="CLM3" s="525"/>
      <c r="CLN3" s="525"/>
      <c r="CLO3" s="525"/>
      <c r="CLP3" s="525"/>
      <c r="CLQ3" s="525"/>
      <c r="CLR3" s="525"/>
      <c r="CLS3" s="525"/>
      <c r="CLT3" s="525"/>
      <c r="CLU3" s="525"/>
      <c r="CLV3" s="525"/>
      <c r="CLW3" s="525"/>
      <c r="CLX3" s="525"/>
      <c r="CLY3" s="525"/>
      <c r="CLZ3" s="525"/>
      <c r="CMA3" s="525"/>
      <c r="CMB3" s="525"/>
      <c r="CMC3" s="525"/>
      <c r="CMD3" s="525"/>
      <c r="CME3" s="525"/>
      <c r="CMF3" s="525"/>
      <c r="CMG3" s="525"/>
      <c r="CMH3" s="525"/>
      <c r="CMI3" s="525"/>
      <c r="CMJ3" s="525"/>
      <c r="CMK3" s="525"/>
      <c r="CML3" s="525"/>
      <c r="CMM3" s="525"/>
      <c r="CMN3" s="525"/>
      <c r="CMO3" s="525"/>
      <c r="CMP3" s="525"/>
      <c r="CMQ3" s="525"/>
      <c r="CMR3" s="525"/>
      <c r="CMS3" s="525"/>
      <c r="CMT3" s="525"/>
      <c r="CMU3" s="525"/>
      <c r="CMV3" s="525"/>
      <c r="CMW3" s="525"/>
      <c r="CMX3" s="525"/>
      <c r="CMY3" s="525"/>
      <c r="CMZ3" s="525"/>
      <c r="CNA3" s="525"/>
      <c r="CNB3" s="525"/>
      <c r="CNC3" s="525"/>
      <c r="CND3" s="525"/>
      <c r="CNE3" s="525"/>
      <c r="CNF3" s="525"/>
      <c r="CNG3" s="525"/>
      <c r="CNH3" s="525"/>
      <c r="CNI3" s="525"/>
      <c r="CNJ3" s="525"/>
      <c r="CNK3" s="525"/>
      <c r="CNL3" s="525"/>
      <c r="CNM3" s="525"/>
      <c r="CNN3" s="525"/>
      <c r="CNO3" s="525"/>
      <c r="CNP3" s="525"/>
      <c r="CNQ3" s="525"/>
      <c r="CNR3" s="525"/>
      <c r="CNS3" s="525"/>
      <c r="CNT3" s="525"/>
      <c r="CNU3" s="525"/>
      <c r="CNV3" s="525"/>
      <c r="CNW3" s="525"/>
      <c r="CNX3" s="525"/>
      <c r="CNY3" s="525"/>
      <c r="CNZ3" s="525"/>
      <c r="COA3" s="525"/>
      <c r="COB3" s="525"/>
      <c r="COC3" s="525"/>
      <c r="COD3" s="525"/>
      <c r="COE3" s="525"/>
      <c r="COF3" s="525"/>
      <c r="COG3" s="525"/>
      <c r="COH3" s="525"/>
      <c r="COI3" s="525"/>
      <c r="COJ3" s="525"/>
      <c r="COK3" s="525"/>
      <c r="COL3" s="525"/>
      <c r="COM3" s="525"/>
      <c r="CON3" s="525"/>
      <c r="COO3" s="525"/>
      <c r="COP3" s="525"/>
      <c r="COQ3" s="525"/>
      <c r="COR3" s="525"/>
      <c r="COS3" s="525"/>
      <c r="COT3" s="525"/>
      <c r="COU3" s="525"/>
      <c r="COV3" s="525"/>
      <c r="COW3" s="525"/>
      <c r="COX3" s="525"/>
      <c r="COY3" s="525"/>
      <c r="COZ3" s="525"/>
      <c r="CPA3" s="525"/>
      <c r="CPB3" s="525"/>
      <c r="CPC3" s="525"/>
      <c r="CPD3" s="525"/>
      <c r="CPE3" s="525"/>
      <c r="CPF3" s="525"/>
      <c r="CPG3" s="525"/>
      <c r="CPH3" s="525"/>
      <c r="CPI3" s="525"/>
      <c r="CPJ3" s="525"/>
      <c r="CPK3" s="525"/>
      <c r="CPL3" s="525"/>
      <c r="CPM3" s="525"/>
      <c r="CPN3" s="525"/>
      <c r="CPO3" s="525"/>
      <c r="CPP3" s="525"/>
      <c r="CPQ3" s="525"/>
      <c r="CPR3" s="525"/>
      <c r="CPS3" s="525"/>
      <c r="CPT3" s="525"/>
      <c r="CPU3" s="525"/>
      <c r="CPV3" s="525"/>
      <c r="CPW3" s="525"/>
      <c r="CPX3" s="525"/>
      <c r="CPY3" s="525"/>
      <c r="CPZ3" s="525"/>
      <c r="CQA3" s="525"/>
      <c r="CQB3" s="525"/>
      <c r="CQC3" s="525"/>
      <c r="CQD3" s="525"/>
      <c r="CQE3" s="525"/>
      <c r="CQF3" s="525"/>
      <c r="CQG3" s="525"/>
      <c r="CQH3" s="525"/>
      <c r="CQI3" s="525"/>
      <c r="CQJ3" s="525"/>
      <c r="CQK3" s="525"/>
      <c r="CQL3" s="525"/>
      <c r="CQM3" s="525"/>
      <c r="CQN3" s="525"/>
      <c r="CQO3" s="525"/>
      <c r="CQP3" s="525"/>
      <c r="CQQ3" s="525"/>
      <c r="CQR3" s="525"/>
      <c r="CQS3" s="525"/>
      <c r="CQT3" s="525"/>
      <c r="CQU3" s="525"/>
      <c r="CQV3" s="525"/>
      <c r="CQW3" s="525"/>
      <c r="CQX3" s="525"/>
      <c r="CQY3" s="525"/>
      <c r="CQZ3" s="525"/>
      <c r="CRA3" s="525"/>
      <c r="CRB3" s="525"/>
      <c r="CRC3" s="525"/>
      <c r="CRD3" s="525"/>
      <c r="CRE3" s="525"/>
      <c r="CRF3" s="525"/>
      <c r="CRG3" s="525"/>
      <c r="CRH3" s="525"/>
      <c r="CRI3" s="525"/>
      <c r="CRJ3" s="525"/>
      <c r="CRK3" s="525"/>
      <c r="CRL3" s="525"/>
      <c r="CRM3" s="525"/>
      <c r="CRN3" s="525"/>
      <c r="CRO3" s="525"/>
      <c r="CRP3" s="525"/>
      <c r="CRQ3" s="525"/>
      <c r="CRR3" s="525"/>
      <c r="CRS3" s="525"/>
      <c r="CRT3" s="525"/>
      <c r="CRU3" s="525"/>
      <c r="CRV3" s="525"/>
      <c r="CRW3" s="525"/>
      <c r="CRX3" s="525"/>
      <c r="CRY3" s="525"/>
      <c r="CRZ3" s="525"/>
      <c r="CSA3" s="525"/>
      <c r="CSB3" s="525"/>
      <c r="CSC3" s="525"/>
      <c r="CSD3" s="525"/>
      <c r="CSE3" s="525"/>
      <c r="CSF3" s="525"/>
      <c r="CSG3" s="525"/>
      <c r="CSH3" s="525"/>
      <c r="CSI3" s="525"/>
      <c r="CSJ3" s="525"/>
      <c r="CSK3" s="525"/>
      <c r="CSL3" s="525"/>
      <c r="CSM3" s="525"/>
      <c r="CSN3" s="525"/>
      <c r="CSO3" s="525"/>
      <c r="CSP3" s="525"/>
      <c r="CSQ3" s="525"/>
      <c r="CSR3" s="525"/>
      <c r="CSS3" s="525"/>
      <c r="CST3" s="525"/>
      <c r="CSU3" s="525"/>
      <c r="CSV3" s="525"/>
      <c r="CSW3" s="525"/>
      <c r="CSX3" s="525"/>
      <c r="CSY3" s="525"/>
      <c r="CSZ3" s="525"/>
      <c r="CTA3" s="525"/>
      <c r="CTB3" s="525"/>
      <c r="CTC3" s="525"/>
      <c r="CTD3" s="525"/>
      <c r="CTE3" s="525"/>
      <c r="CTF3" s="525"/>
      <c r="CTG3" s="525"/>
      <c r="CTH3" s="525"/>
      <c r="CTI3" s="525"/>
      <c r="CTJ3" s="525"/>
      <c r="CTK3" s="525"/>
      <c r="CTL3" s="525"/>
      <c r="CTM3" s="525"/>
      <c r="CTN3" s="525"/>
      <c r="CTO3" s="525"/>
      <c r="CTP3" s="525"/>
      <c r="CTQ3" s="525"/>
      <c r="CTR3" s="525"/>
      <c r="CTS3" s="525"/>
      <c r="CTT3" s="525"/>
      <c r="CTU3" s="525"/>
      <c r="CTV3" s="525"/>
      <c r="CTW3" s="525"/>
      <c r="CTX3" s="525"/>
      <c r="CTY3" s="525"/>
      <c r="CTZ3" s="525"/>
      <c r="CUA3" s="525"/>
      <c r="CUB3" s="525"/>
      <c r="CUC3" s="525"/>
      <c r="CUD3" s="525"/>
      <c r="CUE3" s="525"/>
      <c r="CUF3" s="525"/>
      <c r="CUG3" s="525"/>
      <c r="CUH3" s="525"/>
      <c r="CUI3" s="525"/>
      <c r="CUJ3" s="525"/>
      <c r="CUK3" s="525"/>
      <c r="CUL3" s="525"/>
      <c r="CUM3" s="525"/>
      <c r="CUN3" s="525"/>
      <c r="CUO3" s="525"/>
      <c r="CUP3" s="525"/>
      <c r="CUQ3" s="525"/>
      <c r="CUR3" s="525"/>
      <c r="CUS3" s="525"/>
      <c r="CUT3" s="525"/>
      <c r="CUU3" s="525"/>
      <c r="CUV3" s="525"/>
      <c r="CUW3" s="525"/>
      <c r="CUX3" s="525"/>
      <c r="CUY3" s="525"/>
      <c r="CUZ3" s="525"/>
      <c r="CVA3" s="525"/>
      <c r="CVB3" s="525"/>
      <c r="CVC3" s="525"/>
      <c r="CVD3" s="525"/>
      <c r="CVE3" s="525"/>
      <c r="CVF3" s="525"/>
      <c r="CVG3" s="525"/>
      <c r="CVH3" s="525"/>
      <c r="CVI3" s="525"/>
      <c r="CVJ3" s="525"/>
      <c r="CVK3" s="525"/>
      <c r="CVL3" s="525"/>
      <c r="CVM3" s="525"/>
      <c r="CVN3" s="525"/>
      <c r="CVO3" s="525"/>
      <c r="CVP3" s="525"/>
      <c r="CVQ3" s="525"/>
      <c r="CVR3" s="525"/>
      <c r="CVS3" s="525"/>
      <c r="CVT3" s="525"/>
      <c r="CVU3" s="525"/>
      <c r="CVV3" s="525"/>
      <c r="CVW3" s="525"/>
      <c r="CVX3" s="525"/>
      <c r="CVY3" s="525"/>
      <c r="CVZ3" s="525"/>
      <c r="CWA3" s="525"/>
      <c r="CWB3" s="525"/>
      <c r="CWC3" s="525"/>
      <c r="CWD3" s="525"/>
      <c r="CWE3" s="525"/>
      <c r="CWF3" s="525"/>
      <c r="CWG3" s="525"/>
      <c r="CWH3" s="525"/>
      <c r="CWI3" s="525"/>
      <c r="CWJ3" s="525"/>
      <c r="CWK3" s="525"/>
      <c r="CWL3" s="525"/>
      <c r="CWM3" s="525"/>
      <c r="CWN3" s="525"/>
      <c r="CWO3" s="525"/>
      <c r="CWP3" s="525"/>
      <c r="CWQ3" s="525"/>
      <c r="CWR3" s="525"/>
      <c r="CWS3" s="525"/>
      <c r="CWT3" s="525"/>
      <c r="CWU3" s="525"/>
      <c r="CWV3" s="525"/>
      <c r="CWW3" s="525"/>
      <c r="CWX3" s="525"/>
      <c r="CWY3" s="525"/>
      <c r="CWZ3" s="525"/>
      <c r="CXA3" s="525"/>
      <c r="CXB3" s="525"/>
      <c r="CXC3" s="525"/>
      <c r="CXD3" s="525"/>
      <c r="CXE3" s="525"/>
      <c r="CXF3" s="525"/>
      <c r="CXG3" s="525"/>
      <c r="CXH3" s="525"/>
      <c r="CXI3" s="525"/>
      <c r="CXJ3" s="525"/>
      <c r="CXK3" s="525"/>
      <c r="CXL3" s="525"/>
      <c r="CXM3" s="525"/>
      <c r="CXN3" s="525"/>
      <c r="CXO3" s="525"/>
      <c r="CXP3" s="525"/>
      <c r="CXQ3" s="525"/>
      <c r="CXR3" s="525"/>
      <c r="CXS3" s="525"/>
      <c r="CXT3" s="525"/>
      <c r="CXU3" s="525"/>
      <c r="CXV3" s="525"/>
      <c r="CXW3" s="525"/>
      <c r="CXX3" s="525"/>
      <c r="CXY3" s="525"/>
      <c r="CXZ3" s="525"/>
      <c r="CYA3" s="525"/>
      <c r="CYB3" s="525"/>
      <c r="CYC3" s="525"/>
      <c r="CYD3" s="525"/>
      <c r="CYE3" s="525"/>
      <c r="CYF3" s="525"/>
      <c r="CYG3" s="525"/>
      <c r="CYH3" s="525"/>
      <c r="CYI3" s="525"/>
      <c r="CYJ3" s="525"/>
      <c r="CYK3" s="525"/>
      <c r="CYL3" s="525"/>
      <c r="CYM3" s="525"/>
      <c r="CYN3" s="525"/>
      <c r="CYO3" s="525"/>
      <c r="CYP3" s="525"/>
      <c r="CYQ3" s="525"/>
      <c r="CYR3" s="525"/>
      <c r="CYS3" s="525"/>
      <c r="CYT3" s="525"/>
      <c r="CYU3" s="525"/>
      <c r="CYV3" s="525"/>
      <c r="CYW3" s="525"/>
      <c r="CYX3" s="525"/>
      <c r="CYY3" s="525"/>
      <c r="CYZ3" s="525"/>
      <c r="CZA3" s="525"/>
      <c r="CZB3" s="525"/>
      <c r="CZC3" s="525"/>
      <c r="CZD3" s="525"/>
      <c r="CZE3" s="525"/>
      <c r="CZF3" s="525"/>
      <c r="CZG3" s="525"/>
      <c r="CZH3" s="525"/>
      <c r="CZI3" s="525"/>
      <c r="CZJ3" s="525"/>
      <c r="CZK3" s="525"/>
      <c r="CZL3" s="525"/>
      <c r="CZM3" s="525"/>
      <c r="CZN3" s="525"/>
      <c r="CZO3" s="525"/>
      <c r="CZP3" s="525"/>
      <c r="CZQ3" s="525"/>
      <c r="CZR3" s="525"/>
      <c r="CZS3" s="525"/>
      <c r="CZT3" s="525"/>
      <c r="CZU3" s="525"/>
      <c r="CZV3" s="525"/>
      <c r="CZW3" s="525"/>
      <c r="CZX3" s="525"/>
      <c r="CZY3" s="525"/>
      <c r="CZZ3" s="525"/>
      <c r="DAA3" s="525"/>
      <c r="DAB3" s="525"/>
      <c r="DAC3" s="525"/>
      <c r="DAD3" s="525"/>
      <c r="DAE3" s="525"/>
      <c r="DAF3" s="525"/>
      <c r="DAG3" s="525"/>
      <c r="DAH3" s="525"/>
      <c r="DAI3" s="525"/>
      <c r="DAJ3" s="525"/>
      <c r="DAK3" s="525"/>
      <c r="DAL3" s="525"/>
      <c r="DAM3" s="525"/>
      <c r="DAN3" s="525"/>
      <c r="DAO3" s="525"/>
      <c r="DAP3" s="525"/>
      <c r="DAQ3" s="525"/>
      <c r="DAR3" s="525"/>
      <c r="DAS3" s="525"/>
      <c r="DAT3" s="525"/>
      <c r="DAU3" s="525"/>
      <c r="DAV3" s="525"/>
      <c r="DAW3" s="525"/>
      <c r="DAX3" s="525"/>
      <c r="DAY3" s="525"/>
      <c r="DAZ3" s="525"/>
      <c r="DBA3" s="525"/>
      <c r="DBB3" s="525"/>
      <c r="DBC3" s="525"/>
      <c r="DBD3" s="525"/>
      <c r="DBE3" s="525"/>
      <c r="DBF3" s="525"/>
      <c r="DBG3" s="525"/>
      <c r="DBH3" s="525"/>
      <c r="DBI3" s="525"/>
      <c r="DBJ3" s="525"/>
      <c r="DBK3" s="525"/>
      <c r="DBL3" s="525"/>
      <c r="DBM3" s="525"/>
      <c r="DBN3" s="525"/>
      <c r="DBO3" s="525"/>
      <c r="DBP3" s="525"/>
      <c r="DBQ3" s="525"/>
      <c r="DBR3" s="525"/>
      <c r="DBS3" s="525"/>
      <c r="DBT3" s="525"/>
      <c r="DBU3" s="525"/>
      <c r="DBV3" s="525"/>
      <c r="DBW3" s="525"/>
      <c r="DBX3" s="525"/>
      <c r="DBY3" s="525"/>
      <c r="DBZ3" s="525"/>
      <c r="DCA3" s="525"/>
      <c r="DCB3" s="525"/>
      <c r="DCC3" s="525"/>
      <c r="DCD3" s="525"/>
      <c r="DCE3" s="525"/>
      <c r="DCF3" s="525"/>
      <c r="DCG3" s="525"/>
      <c r="DCH3" s="525"/>
      <c r="DCI3" s="525"/>
      <c r="DCJ3" s="525"/>
      <c r="DCK3" s="525"/>
      <c r="DCL3" s="525"/>
      <c r="DCM3" s="525"/>
      <c r="DCN3" s="525"/>
      <c r="DCO3" s="525"/>
      <c r="DCP3" s="525"/>
      <c r="DCQ3" s="525"/>
      <c r="DCR3" s="525"/>
      <c r="DCS3" s="525"/>
      <c r="DCT3" s="525"/>
      <c r="DCU3" s="525"/>
      <c r="DCV3" s="525"/>
      <c r="DCW3" s="525"/>
      <c r="DCX3" s="525"/>
      <c r="DCY3" s="525"/>
      <c r="DCZ3" s="525"/>
      <c r="DDA3" s="525"/>
      <c r="DDB3" s="525"/>
      <c r="DDC3" s="525"/>
      <c r="DDD3" s="525"/>
      <c r="DDE3" s="525"/>
      <c r="DDF3" s="525"/>
      <c r="DDG3" s="525"/>
      <c r="DDH3" s="525"/>
      <c r="DDI3" s="525"/>
      <c r="DDJ3" s="525"/>
      <c r="DDK3" s="525"/>
      <c r="DDL3" s="525"/>
      <c r="DDM3" s="525"/>
      <c r="DDN3" s="525"/>
      <c r="DDO3" s="525"/>
      <c r="DDP3" s="525"/>
      <c r="DDQ3" s="525"/>
      <c r="DDR3" s="525"/>
      <c r="DDS3" s="525"/>
      <c r="DDT3" s="525"/>
      <c r="DDU3" s="525"/>
      <c r="DDV3" s="525"/>
      <c r="DDW3" s="525"/>
      <c r="DDX3" s="525"/>
      <c r="DDY3" s="525"/>
      <c r="DDZ3" s="525"/>
      <c r="DEA3" s="525"/>
      <c r="DEB3" s="525"/>
      <c r="DEC3" s="525"/>
      <c r="DED3" s="525"/>
      <c r="DEE3" s="525"/>
      <c r="DEF3" s="525"/>
      <c r="DEG3" s="525"/>
      <c r="DEH3" s="525"/>
      <c r="DEI3" s="525"/>
      <c r="DEJ3" s="525"/>
      <c r="DEK3" s="525"/>
      <c r="DEL3" s="525"/>
      <c r="DEM3" s="525"/>
      <c r="DEN3" s="525"/>
      <c r="DEO3" s="525"/>
      <c r="DEP3" s="525"/>
      <c r="DEQ3" s="525"/>
      <c r="DER3" s="525"/>
      <c r="DES3" s="525"/>
      <c r="DET3" s="525"/>
      <c r="DEU3" s="525"/>
      <c r="DEV3" s="525"/>
      <c r="DEW3" s="525"/>
      <c r="DEX3" s="525"/>
      <c r="DEY3" s="525"/>
      <c r="DEZ3" s="525"/>
      <c r="DFA3" s="525"/>
      <c r="DFB3" s="525"/>
      <c r="DFC3" s="525"/>
      <c r="DFD3" s="525"/>
      <c r="DFE3" s="525"/>
      <c r="DFF3" s="525"/>
      <c r="DFG3" s="525"/>
      <c r="DFH3" s="525"/>
      <c r="DFI3" s="525"/>
      <c r="DFJ3" s="525"/>
      <c r="DFK3" s="525"/>
      <c r="DFL3" s="525"/>
      <c r="DFM3" s="525"/>
      <c r="DFN3" s="525"/>
      <c r="DFO3" s="525"/>
      <c r="DFP3" s="525"/>
      <c r="DFQ3" s="525"/>
      <c r="DFR3" s="525"/>
      <c r="DFS3" s="525"/>
      <c r="DFT3" s="525"/>
      <c r="DFU3" s="525"/>
      <c r="DFV3" s="525"/>
      <c r="DFW3" s="525"/>
      <c r="DFX3" s="525"/>
      <c r="DFY3" s="525"/>
      <c r="DFZ3" s="525"/>
      <c r="DGA3" s="525"/>
      <c r="DGB3" s="525"/>
      <c r="DGC3" s="525"/>
      <c r="DGD3" s="525"/>
      <c r="DGE3" s="525"/>
      <c r="DGF3" s="525"/>
      <c r="DGG3" s="525"/>
      <c r="DGH3" s="525"/>
      <c r="DGI3" s="525"/>
      <c r="DGJ3" s="525"/>
      <c r="DGK3" s="525"/>
      <c r="DGL3" s="525"/>
      <c r="DGM3" s="525"/>
      <c r="DGN3" s="525"/>
      <c r="DGO3" s="525"/>
      <c r="DGP3" s="525"/>
      <c r="DGQ3" s="525"/>
      <c r="DGR3" s="525"/>
      <c r="DGS3" s="525"/>
      <c r="DGT3" s="525"/>
      <c r="DGU3" s="525"/>
      <c r="DGV3" s="525"/>
      <c r="DGW3" s="525"/>
      <c r="DGX3" s="525"/>
      <c r="DGY3" s="525"/>
      <c r="DGZ3" s="525"/>
      <c r="DHA3" s="525"/>
      <c r="DHB3" s="525"/>
      <c r="DHC3" s="525"/>
      <c r="DHD3" s="525"/>
      <c r="DHE3" s="525"/>
      <c r="DHF3" s="525"/>
      <c r="DHG3" s="525"/>
      <c r="DHH3" s="525"/>
      <c r="DHI3" s="525"/>
      <c r="DHJ3" s="525"/>
      <c r="DHK3" s="525"/>
      <c r="DHL3" s="525"/>
      <c r="DHM3" s="525"/>
      <c r="DHN3" s="525"/>
      <c r="DHO3" s="525"/>
      <c r="DHP3" s="525"/>
      <c r="DHQ3" s="525"/>
      <c r="DHR3" s="525"/>
      <c r="DHS3" s="525"/>
      <c r="DHT3" s="525"/>
      <c r="DHU3" s="525"/>
      <c r="DHV3" s="525"/>
      <c r="DHW3" s="525"/>
      <c r="DHX3" s="525"/>
      <c r="DHY3" s="525"/>
      <c r="DHZ3" s="525"/>
      <c r="DIA3" s="525"/>
      <c r="DIB3" s="525"/>
      <c r="DIC3" s="525"/>
      <c r="DID3" s="525"/>
      <c r="DIE3" s="525"/>
      <c r="DIF3" s="525"/>
      <c r="DIG3" s="525"/>
      <c r="DIH3" s="525"/>
      <c r="DII3" s="525"/>
      <c r="DIJ3" s="525"/>
      <c r="DIK3" s="525"/>
      <c r="DIL3" s="525"/>
      <c r="DIM3" s="525"/>
      <c r="DIN3" s="525"/>
      <c r="DIO3" s="525"/>
      <c r="DIP3" s="525"/>
      <c r="DIQ3" s="525"/>
      <c r="DIR3" s="525"/>
      <c r="DIS3" s="525"/>
      <c r="DIT3" s="525"/>
      <c r="DIU3" s="525"/>
      <c r="DIV3" s="525"/>
      <c r="DIW3" s="525"/>
      <c r="DIX3" s="525"/>
      <c r="DIY3" s="525"/>
      <c r="DIZ3" s="525"/>
      <c r="DJA3" s="525"/>
      <c r="DJB3" s="525"/>
      <c r="DJC3" s="525"/>
      <c r="DJD3" s="525"/>
      <c r="DJE3" s="525"/>
      <c r="DJF3" s="525"/>
      <c r="DJG3" s="525"/>
      <c r="DJH3" s="525"/>
      <c r="DJI3" s="525"/>
      <c r="DJJ3" s="525"/>
      <c r="DJK3" s="525"/>
      <c r="DJL3" s="525"/>
      <c r="DJM3" s="525"/>
      <c r="DJN3" s="525"/>
      <c r="DJO3" s="525"/>
      <c r="DJP3" s="525"/>
      <c r="DJQ3" s="525"/>
      <c r="DJR3" s="525"/>
      <c r="DJS3" s="525"/>
      <c r="DJT3" s="525"/>
      <c r="DJU3" s="525"/>
      <c r="DJV3" s="525"/>
      <c r="DJW3" s="525"/>
      <c r="DJX3" s="525"/>
      <c r="DJY3" s="525"/>
      <c r="DJZ3" s="525"/>
      <c r="DKA3" s="525"/>
      <c r="DKB3" s="525"/>
      <c r="DKC3" s="525"/>
      <c r="DKD3" s="525"/>
      <c r="DKE3" s="525"/>
      <c r="DKF3" s="525"/>
      <c r="DKG3" s="525"/>
      <c r="DKH3" s="525"/>
      <c r="DKI3" s="525"/>
      <c r="DKJ3" s="525"/>
      <c r="DKK3" s="525"/>
      <c r="DKL3" s="525"/>
      <c r="DKM3" s="525"/>
      <c r="DKN3" s="525"/>
      <c r="DKO3" s="525"/>
      <c r="DKP3" s="525"/>
      <c r="DKQ3" s="525"/>
      <c r="DKR3" s="525"/>
      <c r="DKS3" s="525"/>
      <c r="DKT3" s="525"/>
      <c r="DKU3" s="525"/>
      <c r="DKV3" s="525"/>
      <c r="DKW3" s="525"/>
      <c r="DKX3" s="525"/>
      <c r="DKY3" s="525"/>
      <c r="DKZ3" s="525"/>
      <c r="DLA3" s="525"/>
      <c r="DLB3" s="525"/>
      <c r="DLC3" s="525"/>
      <c r="DLD3" s="525"/>
      <c r="DLE3" s="525"/>
      <c r="DLF3" s="525"/>
      <c r="DLG3" s="525"/>
      <c r="DLH3" s="525"/>
      <c r="DLI3" s="525"/>
      <c r="DLJ3" s="525"/>
      <c r="DLK3" s="525"/>
      <c r="DLL3" s="525"/>
      <c r="DLM3" s="525"/>
      <c r="DLN3" s="525"/>
      <c r="DLO3" s="525"/>
      <c r="DLP3" s="525"/>
      <c r="DLQ3" s="525"/>
      <c r="DLR3" s="525"/>
      <c r="DLS3" s="525"/>
      <c r="DLT3" s="525"/>
      <c r="DLU3" s="525"/>
      <c r="DLV3" s="525"/>
      <c r="DLW3" s="525"/>
      <c r="DLX3" s="525"/>
      <c r="DLY3" s="525"/>
      <c r="DLZ3" s="525"/>
      <c r="DMA3" s="525"/>
      <c r="DMB3" s="525"/>
      <c r="DMC3" s="525"/>
      <c r="DMD3" s="525"/>
      <c r="DME3" s="525"/>
      <c r="DMF3" s="525"/>
      <c r="DMG3" s="525"/>
      <c r="DMH3" s="525"/>
      <c r="DMI3" s="525"/>
      <c r="DMJ3" s="525"/>
      <c r="DMK3" s="525"/>
      <c r="DML3" s="525"/>
      <c r="DMM3" s="525"/>
      <c r="DMN3" s="525"/>
      <c r="DMO3" s="525"/>
      <c r="DMP3" s="525"/>
      <c r="DMQ3" s="525"/>
      <c r="DMR3" s="525"/>
      <c r="DMS3" s="525"/>
      <c r="DMT3" s="525"/>
      <c r="DMU3" s="525"/>
      <c r="DMV3" s="525"/>
      <c r="DMW3" s="525"/>
      <c r="DMX3" s="525"/>
      <c r="DMY3" s="525"/>
      <c r="DMZ3" s="525"/>
      <c r="DNA3" s="525"/>
      <c r="DNB3" s="525"/>
      <c r="DNC3" s="525"/>
      <c r="DND3" s="525"/>
      <c r="DNE3" s="525"/>
      <c r="DNF3" s="525"/>
      <c r="DNG3" s="525"/>
      <c r="DNH3" s="525"/>
      <c r="DNI3" s="525"/>
      <c r="DNJ3" s="525"/>
      <c r="DNK3" s="525"/>
      <c r="DNL3" s="525"/>
      <c r="DNM3" s="525"/>
      <c r="DNN3" s="525"/>
      <c r="DNO3" s="525"/>
      <c r="DNP3" s="525"/>
      <c r="DNQ3" s="525"/>
      <c r="DNR3" s="525"/>
      <c r="DNS3" s="525"/>
      <c r="DNT3" s="525"/>
      <c r="DNU3" s="525"/>
      <c r="DNV3" s="525"/>
      <c r="DNW3" s="525"/>
      <c r="DNX3" s="525"/>
      <c r="DNY3" s="525"/>
      <c r="DNZ3" s="525"/>
      <c r="DOA3" s="525"/>
      <c r="DOB3" s="525"/>
      <c r="DOC3" s="525"/>
      <c r="DOD3" s="525"/>
      <c r="DOE3" s="525"/>
      <c r="DOF3" s="525"/>
      <c r="DOG3" s="525"/>
      <c r="DOH3" s="525"/>
      <c r="DOI3" s="525"/>
      <c r="DOJ3" s="525"/>
      <c r="DOK3" s="525"/>
      <c r="DOL3" s="525"/>
      <c r="DOM3" s="525"/>
      <c r="DON3" s="525"/>
      <c r="DOO3" s="525"/>
      <c r="DOP3" s="525"/>
      <c r="DOQ3" s="525"/>
      <c r="DOR3" s="525"/>
      <c r="DOS3" s="525"/>
      <c r="DOT3" s="525"/>
      <c r="DOU3" s="525"/>
      <c r="DOV3" s="525"/>
      <c r="DOW3" s="525"/>
      <c r="DOX3" s="525"/>
      <c r="DOY3" s="525"/>
      <c r="DOZ3" s="525"/>
      <c r="DPA3" s="525"/>
      <c r="DPB3" s="525"/>
      <c r="DPC3" s="525"/>
      <c r="DPD3" s="525"/>
      <c r="DPE3" s="525"/>
      <c r="DPF3" s="525"/>
      <c r="DPG3" s="525"/>
      <c r="DPH3" s="525"/>
      <c r="DPI3" s="525"/>
      <c r="DPJ3" s="525"/>
      <c r="DPK3" s="525"/>
      <c r="DPL3" s="525"/>
      <c r="DPM3" s="525"/>
      <c r="DPN3" s="525"/>
      <c r="DPO3" s="525"/>
      <c r="DPP3" s="525"/>
      <c r="DPQ3" s="525"/>
      <c r="DPR3" s="525"/>
      <c r="DPS3" s="525"/>
      <c r="DPT3" s="525"/>
      <c r="DPU3" s="525"/>
      <c r="DPV3" s="525"/>
      <c r="DPW3" s="525"/>
      <c r="DPX3" s="525"/>
      <c r="DPY3" s="525"/>
      <c r="DPZ3" s="525"/>
      <c r="DQA3" s="525"/>
      <c r="DQB3" s="525"/>
      <c r="DQC3" s="525"/>
      <c r="DQD3" s="525"/>
      <c r="DQE3" s="525"/>
      <c r="DQF3" s="525"/>
      <c r="DQG3" s="525"/>
      <c r="DQH3" s="525"/>
      <c r="DQI3" s="525"/>
      <c r="DQJ3" s="525"/>
      <c r="DQK3" s="525"/>
      <c r="DQL3" s="525"/>
      <c r="DQM3" s="525"/>
      <c r="DQN3" s="525"/>
      <c r="DQO3" s="525"/>
      <c r="DQP3" s="525"/>
      <c r="DQQ3" s="525"/>
      <c r="DQR3" s="525"/>
      <c r="DQS3" s="525"/>
      <c r="DQT3" s="525"/>
      <c r="DQU3" s="525"/>
      <c r="DQV3" s="525"/>
      <c r="DQW3" s="525"/>
      <c r="DQX3" s="525"/>
      <c r="DQY3" s="525"/>
      <c r="DQZ3" s="525"/>
      <c r="DRA3" s="525"/>
      <c r="DRB3" s="525"/>
      <c r="DRC3" s="525"/>
      <c r="DRD3" s="525"/>
      <c r="DRE3" s="525"/>
      <c r="DRF3" s="525"/>
      <c r="DRG3" s="525"/>
      <c r="DRH3" s="525"/>
      <c r="DRI3" s="525"/>
      <c r="DRJ3" s="525"/>
      <c r="DRK3" s="525"/>
      <c r="DRL3" s="525"/>
      <c r="DRM3" s="525"/>
      <c r="DRN3" s="525"/>
      <c r="DRO3" s="525"/>
      <c r="DRP3" s="525"/>
      <c r="DRQ3" s="525"/>
      <c r="DRR3" s="525"/>
      <c r="DRS3" s="525"/>
      <c r="DRT3" s="525"/>
      <c r="DRU3" s="525"/>
      <c r="DRV3" s="525"/>
      <c r="DRW3" s="525"/>
      <c r="DRX3" s="525"/>
      <c r="DRY3" s="525"/>
      <c r="DRZ3" s="525"/>
      <c r="DSA3" s="525"/>
      <c r="DSB3" s="525"/>
      <c r="DSC3" s="525"/>
      <c r="DSD3" s="525"/>
      <c r="DSE3" s="525"/>
      <c r="DSF3" s="525"/>
      <c r="DSG3" s="525"/>
      <c r="DSH3" s="525"/>
      <c r="DSI3" s="525"/>
      <c r="DSJ3" s="525"/>
      <c r="DSK3" s="525"/>
      <c r="DSL3" s="525"/>
      <c r="DSM3" s="525"/>
      <c r="DSN3" s="525"/>
      <c r="DSO3" s="525"/>
      <c r="DSP3" s="525"/>
      <c r="DSQ3" s="525"/>
      <c r="DSR3" s="525"/>
      <c r="DSS3" s="525"/>
      <c r="DST3" s="525"/>
      <c r="DSU3" s="525"/>
      <c r="DSV3" s="525"/>
      <c r="DSW3" s="525"/>
      <c r="DSX3" s="525"/>
      <c r="DSY3" s="525"/>
      <c r="DSZ3" s="525"/>
      <c r="DTA3" s="525"/>
      <c r="DTB3" s="525"/>
      <c r="DTC3" s="525"/>
      <c r="DTD3" s="525"/>
      <c r="DTE3" s="525"/>
      <c r="DTF3" s="525"/>
      <c r="DTG3" s="525"/>
      <c r="DTH3" s="525"/>
      <c r="DTI3" s="525"/>
      <c r="DTJ3" s="525"/>
      <c r="DTK3" s="525"/>
      <c r="DTL3" s="525"/>
      <c r="DTM3" s="525"/>
      <c r="DTN3" s="525"/>
      <c r="DTO3" s="525"/>
      <c r="DTP3" s="525"/>
      <c r="DTQ3" s="525"/>
      <c r="DTR3" s="525"/>
      <c r="DTS3" s="525"/>
      <c r="DTT3" s="525"/>
      <c r="DTU3" s="525"/>
      <c r="DTV3" s="525"/>
      <c r="DTW3" s="525"/>
      <c r="DTX3" s="525"/>
      <c r="DTY3" s="525"/>
      <c r="DTZ3" s="525"/>
      <c r="DUA3" s="525"/>
      <c r="DUB3" s="525"/>
      <c r="DUC3" s="525"/>
      <c r="DUD3" s="525"/>
      <c r="DUE3" s="525"/>
      <c r="DUF3" s="525"/>
      <c r="DUG3" s="525"/>
      <c r="DUH3" s="525"/>
      <c r="DUI3" s="525"/>
      <c r="DUJ3" s="525"/>
      <c r="DUK3" s="525"/>
      <c r="DUL3" s="525"/>
      <c r="DUM3" s="525"/>
      <c r="DUN3" s="525"/>
      <c r="DUO3" s="525"/>
      <c r="DUP3" s="525"/>
      <c r="DUQ3" s="525"/>
      <c r="DUR3" s="525"/>
      <c r="DUS3" s="525"/>
      <c r="DUT3" s="525"/>
      <c r="DUU3" s="525"/>
      <c r="DUV3" s="525"/>
      <c r="DUW3" s="525"/>
      <c r="DUX3" s="525"/>
      <c r="DUY3" s="525"/>
      <c r="DUZ3" s="525"/>
      <c r="DVA3" s="525"/>
      <c r="DVB3" s="525"/>
      <c r="DVC3" s="525"/>
      <c r="DVD3" s="525"/>
      <c r="DVE3" s="525"/>
      <c r="DVF3" s="525"/>
      <c r="DVG3" s="525"/>
      <c r="DVH3" s="525"/>
      <c r="DVI3" s="525"/>
      <c r="DVJ3" s="525"/>
      <c r="DVK3" s="525"/>
      <c r="DVL3" s="525"/>
      <c r="DVM3" s="525"/>
      <c r="DVN3" s="525"/>
      <c r="DVO3" s="525"/>
      <c r="DVP3" s="525"/>
      <c r="DVQ3" s="525"/>
      <c r="DVR3" s="525"/>
      <c r="DVS3" s="525"/>
      <c r="DVT3" s="525"/>
      <c r="DVU3" s="525"/>
      <c r="DVV3" s="525"/>
      <c r="DVW3" s="525"/>
      <c r="DVX3" s="525"/>
      <c r="DVY3" s="525"/>
      <c r="DVZ3" s="525"/>
      <c r="DWA3" s="525"/>
      <c r="DWB3" s="525"/>
      <c r="DWC3" s="525"/>
      <c r="DWD3" s="525"/>
      <c r="DWE3" s="525"/>
      <c r="DWF3" s="525"/>
      <c r="DWG3" s="525"/>
      <c r="DWH3" s="525"/>
      <c r="DWI3" s="525"/>
      <c r="DWJ3" s="525"/>
      <c r="DWK3" s="525"/>
      <c r="DWL3" s="525"/>
      <c r="DWM3" s="525"/>
      <c r="DWN3" s="525"/>
      <c r="DWO3" s="525"/>
      <c r="DWP3" s="525"/>
      <c r="DWQ3" s="525"/>
      <c r="DWR3" s="525"/>
      <c r="DWS3" s="525"/>
      <c r="DWT3" s="525"/>
      <c r="DWU3" s="525"/>
      <c r="DWV3" s="525"/>
      <c r="DWW3" s="525"/>
      <c r="DWX3" s="525"/>
      <c r="DWY3" s="525"/>
      <c r="DWZ3" s="525"/>
      <c r="DXA3" s="525"/>
      <c r="DXB3" s="525"/>
      <c r="DXC3" s="525"/>
      <c r="DXD3" s="525"/>
      <c r="DXE3" s="525"/>
      <c r="DXF3" s="525"/>
      <c r="DXG3" s="525"/>
      <c r="DXH3" s="525"/>
      <c r="DXI3" s="525"/>
      <c r="DXJ3" s="525"/>
      <c r="DXK3" s="525"/>
      <c r="DXL3" s="525"/>
      <c r="DXM3" s="525"/>
      <c r="DXN3" s="525"/>
      <c r="DXO3" s="525"/>
      <c r="DXP3" s="525"/>
      <c r="DXQ3" s="525"/>
      <c r="DXR3" s="525"/>
      <c r="DXS3" s="525"/>
      <c r="DXT3" s="525"/>
      <c r="DXU3" s="525"/>
      <c r="DXV3" s="525"/>
      <c r="DXW3" s="525"/>
      <c r="DXX3" s="525"/>
      <c r="DXY3" s="525"/>
      <c r="DXZ3" s="525"/>
      <c r="DYA3" s="525"/>
      <c r="DYB3" s="525"/>
      <c r="DYC3" s="525"/>
      <c r="DYD3" s="525"/>
      <c r="DYE3" s="525"/>
      <c r="DYF3" s="525"/>
      <c r="DYG3" s="525"/>
      <c r="DYH3" s="525"/>
      <c r="DYI3" s="525"/>
      <c r="DYJ3" s="525"/>
      <c r="DYK3" s="525"/>
      <c r="DYL3" s="525"/>
      <c r="DYM3" s="525"/>
      <c r="DYN3" s="525"/>
      <c r="DYO3" s="525"/>
      <c r="DYP3" s="525"/>
      <c r="DYQ3" s="525"/>
      <c r="DYR3" s="525"/>
      <c r="DYS3" s="525"/>
      <c r="DYT3" s="525"/>
      <c r="DYU3" s="525"/>
      <c r="DYV3" s="525"/>
      <c r="DYW3" s="525"/>
      <c r="DYX3" s="525"/>
      <c r="DYY3" s="525"/>
      <c r="DYZ3" s="525"/>
      <c r="DZA3" s="525"/>
      <c r="DZB3" s="525"/>
      <c r="DZC3" s="525"/>
      <c r="DZD3" s="525"/>
      <c r="DZE3" s="525"/>
      <c r="DZF3" s="525"/>
      <c r="DZG3" s="525"/>
      <c r="DZH3" s="525"/>
      <c r="DZI3" s="525"/>
      <c r="DZJ3" s="525"/>
      <c r="DZK3" s="525"/>
      <c r="DZL3" s="525"/>
      <c r="DZM3" s="525"/>
      <c r="DZN3" s="525"/>
      <c r="DZO3" s="525"/>
      <c r="DZP3" s="525"/>
      <c r="DZQ3" s="525"/>
      <c r="DZR3" s="525"/>
      <c r="DZS3" s="525"/>
      <c r="DZT3" s="525"/>
      <c r="DZU3" s="525"/>
      <c r="DZV3" s="525"/>
      <c r="DZW3" s="525"/>
      <c r="DZX3" s="525"/>
      <c r="DZY3" s="525"/>
      <c r="DZZ3" s="525"/>
      <c r="EAA3" s="525"/>
      <c r="EAB3" s="525"/>
      <c r="EAC3" s="525"/>
      <c r="EAD3" s="525"/>
      <c r="EAE3" s="525"/>
      <c r="EAF3" s="525"/>
      <c r="EAG3" s="525"/>
      <c r="EAH3" s="525"/>
      <c r="EAI3" s="525"/>
      <c r="EAJ3" s="525"/>
      <c r="EAK3" s="525"/>
      <c r="EAL3" s="525"/>
      <c r="EAM3" s="525"/>
      <c r="EAN3" s="525"/>
      <c r="EAO3" s="525"/>
      <c r="EAP3" s="525"/>
      <c r="EAQ3" s="525"/>
      <c r="EAR3" s="525"/>
      <c r="EAS3" s="525"/>
      <c r="EAT3" s="525"/>
      <c r="EAU3" s="525"/>
      <c r="EAV3" s="525"/>
      <c r="EAW3" s="525"/>
      <c r="EAX3" s="525"/>
      <c r="EAY3" s="525"/>
      <c r="EAZ3" s="525"/>
      <c r="EBA3" s="525"/>
      <c r="EBB3" s="525"/>
      <c r="EBC3" s="525"/>
      <c r="EBD3" s="525"/>
      <c r="EBE3" s="525"/>
      <c r="EBF3" s="525"/>
      <c r="EBG3" s="525"/>
      <c r="EBH3" s="525"/>
      <c r="EBI3" s="525"/>
      <c r="EBJ3" s="525"/>
      <c r="EBK3" s="525"/>
      <c r="EBL3" s="525"/>
      <c r="EBM3" s="525"/>
      <c r="EBN3" s="525"/>
      <c r="EBO3" s="525"/>
      <c r="EBP3" s="525"/>
      <c r="EBQ3" s="525"/>
      <c r="EBR3" s="525"/>
      <c r="EBS3" s="525"/>
      <c r="EBT3" s="525"/>
      <c r="EBU3" s="525"/>
      <c r="EBV3" s="525"/>
      <c r="EBW3" s="525"/>
      <c r="EBX3" s="525"/>
      <c r="EBY3" s="525"/>
      <c r="EBZ3" s="525"/>
      <c r="ECA3" s="525"/>
      <c r="ECB3" s="525"/>
      <c r="ECC3" s="525"/>
      <c r="ECD3" s="525"/>
      <c r="ECE3" s="525"/>
      <c r="ECF3" s="525"/>
      <c r="ECG3" s="525"/>
      <c r="ECH3" s="525"/>
      <c r="ECI3" s="525"/>
      <c r="ECJ3" s="525"/>
      <c r="ECK3" s="525"/>
      <c r="ECL3" s="525"/>
      <c r="ECM3" s="525"/>
      <c r="ECN3" s="525"/>
      <c r="ECO3" s="525"/>
      <c r="ECP3" s="525"/>
      <c r="ECQ3" s="525"/>
      <c r="ECR3" s="525"/>
      <c r="ECS3" s="525"/>
      <c r="ECT3" s="525"/>
      <c r="ECU3" s="525"/>
      <c r="ECV3" s="525"/>
      <c r="ECW3" s="525"/>
      <c r="ECX3" s="525"/>
      <c r="ECY3" s="525"/>
      <c r="ECZ3" s="525"/>
      <c r="EDA3" s="525"/>
      <c r="EDB3" s="525"/>
      <c r="EDC3" s="525"/>
      <c r="EDD3" s="525"/>
      <c r="EDE3" s="525"/>
      <c r="EDF3" s="525"/>
      <c r="EDG3" s="525"/>
      <c r="EDH3" s="525"/>
      <c r="EDI3" s="525"/>
      <c r="EDJ3" s="525"/>
      <c r="EDK3" s="525"/>
      <c r="EDL3" s="525"/>
      <c r="EDM3" s="525"/>
      <c r="EDN3" s="525"/>
      <c r="EDO3" s="525"/>
      <c r="EDP3" s="525"/>
      <c r="EDQ3" s="525"/>
      <c r="EDR3" s="525"/>
      <c r="EDS3" s="525"/>
      <c r="EDT3" s="525"/>
      <c r="EDU3" s="525"/>
      <c r="EDV3" s="525"/>
      <c r="EDW3" s="525"/>
      <c r="EDX3" s="525"/>
      <c r="EDY3" s="525"/>
      <c r="EDZ3" s="525"/>
      <c r="EEA3" s="525"/>
      <c r="EEB3" s="525"/>
      <c r="EEC3" s="525"/>
      <c r="EED3" s="525"/>
      <c r="EEE3" s="525"/>
      <c r="EEF3" s="525"/>
      <c r="EEG3" s="525"/>
      <c r="EEH3" s="525"/>
      <c r="EEI3" s="525"/>
      <c r="EEJ3" s="525"/>
      <c r="EEK3" s="525"/>
      <c r="EEL3" s="525"/>
      <c r="EEM3" s="525"/>
      <c r="EEN3" s="525"/>
      <c r="EEO3" s="525"/>
      <c r="EEP3" s="525"/>
      <c r="EEQ3" s="525"/>
      <c r="EER3" s="525"/>
      <c r="EES3" s="525"/>
      <c r="EET3" s="525"/>
      <c r="EEU3" s="525"/>
      <c r="EEV3" s="525"/>
      <c r="EEW3" s="525"/>
      <c r="EEX3" s="525"/>
      <c r="EEY3" s="525"/>
      <c r="EEZ3" s="525"/>
      <c r="EFA3" s="525"/>
      <c r="EFB3" s="525"/>
      <c r="EFC3" s="525"/>
      <c r="EFD3" s="525"/>
      <c r="EFE3" s="525"/>
      <c r="EFF3" s="525"/>
      <c r="EFG3" s="525"/>
      <c r="EFH3" s="525"/>
      <c r="EFI3" s="525"/>
      <c r="EFJ3" s="525"/>
      <c r="EFK3" s="525"/>
      <c r="EFL3" s="525"/>
      <c r="EFM3" s="525"/>
      <c r="EFN3" s="525"/>
      <c r="EFO3" s="525"/>
      <c r="EFP3" s="525"/>
      <c r="EFQ3" s="525"/>
      <c r="EFR3" s="525"/>
      <c r="EFS3" s="525"/>
      <c r="EFT3" s="525"/>
      <c r="EFU3" s="525"/>
      <c r="EFV3" s="525"/>
      <c r="EFW3" s="525"/>
      <c r="EFX3" s="525"/>
      <c r="EFY3" s="525"/>
      <c r="EFZ3" s="525"/>
      <c r="EGA3" s="525"/>
      <c r="EGB3" s="525"/>
      <c r="EGC3" s="525"/>
      <c r="EGD3" s="525"/>
      <c r="EGE3" s="525"/>
      <c r="EGF3" s="525"/>
      <c r="EGG3" s="525"/>
      <c r="EGH3" s="525"/>
      <c r="EGI3" s="525"/>
      <c r="EGJ3" s="525"/>
      <c r="EGK3" s="525"/>
      <c r="EGL3" s="525"/>
      <c r="EGM3" s="525"/>
      <c r="EGN3" s="525"/>
      <c r="EGO3" s="525"/>
      <c r="EGP3" s="525"/>
      <c r="EGQ3" s="525"/>
      <c r="EGR3" s="525"/>
      <c r="EGS3" s="525"/>
      <c r="EGT3" s="525"/>
      <c r="EGU3" s="525"/>
      <c r="EGV3" s="525"/>
      <c r="EGW3" s="525"/>
      <c r="EGX3" s="525"/>
      <c r="EGY3" s="525"/>
      <c r="EGZ3" s="525"/>
      <c r="EHA3" s="525"/>
      <c r="EHB3" s="525"/>
      <c r="EHC3" s="525"/>
      <c r="EHD3" s="525"/>
      <c r="EHE3" s="525"/>
      <c r="EHF3" s="525"/>
      <c r="EHG3" s="525"/>
      <c r="EHH3" s="525"/>
      <c r="EHI3" s="525"/>
      <c r="EHJ3" s="525"/>
      <c r="EHK3" s="525"/>
      <c r="EHL3" s="525"/>
      <c r="EHM3" s="525"/>
      <c r="EHN3" s="525"/>
      <c r="EHO3" s="525"/>
      <c r="EHP3" s="525"/>
      <c r="EHQ3" s="525"/>
      <c r="EHR3" s="525"/>
      <c r="EHS3" s="525"/>
      <c r="EHT3" s="525"/>
      <c r="EHU3" s="525"/>
      <c r="EHV3" s="525"/>
      <c r="EHW3" s="525"/>
      <c r="EHX3" s="525"/>
      <c r="EHY3" s="525"/>
      <c r="EHZ3" s="525"/>
      <c r="EIA3" s="525"/>
      <c r="EIB3" s="525"/>
      <c r="EIC3" s="525"/>
      <c r="EID3" s="525"/>
      <c r="EIE3" s="525"/>
      <c r="EIF3" s="525"/>
      <c r="EIG3" s="525"/>
      <c r="EIH3" s="525"/>
      <c r="EII3" s="525"/>
      <c r="EIJ3" s="525"/>
      <c r="EIK3" s="525"/>
      <c r="EIL3" s="525"/>
      <c r="EIM3" s="525"/>
      <c r="EIN3" s="525"/>
      <c r="EIO3" s="525"/>
      <c r="EIP3" s="525"/>
      <c r="EIQ3" s="525"/>
      <c r="EIR3" s="525"/>
      <c r="EIS3" s="525"/>
      <c r="EIT3" s="525"/>
      <c r="EIU3" s="525"/>
      <c r="EIV3" s="525"/>
      <c r="EIW3" s="525"/>
      <c r="EIX3" s="525"/>
      <c r="EIY3" s="525"/>
      <c r="EIZ3" s="525"/>
      <c r="EJA3" s="525"/>
      <c r="EJB3" s="525"/>
      <c r="EJC3" s="525"/>
      <c r="EJD3" s="525"/>
      <c r="EJE3" s="525"/>
      <c r="EJF3" s="525"/>
      <c r="EJG3" s="525"/>
      <c r="EJH3" s="525"/>
      <c r="EJI3" s="525"/>
      <c r="EJJ3" s="525"/>
      <c r="EJK3" s="525"/>
      <c r="EJL3" s="525"/>
      <c r="EJM3" s="525"/>
      <c r="EJN3" s="525"/>
      <c r="EJO3" s="525"/>
      <c r="EJP3" s="525"/>
      <c r="EJQ3" s="525"/>
      <c r="EJR3" s="525"/>
      <c r="EJS3" s="525"/>
      <c r="EJT3" s="525"/>
      <c r="EJU3" s="525"/>
      <c r="EJV3" s="525"/>
      <c r="EJW3" s="525"/>
      <c r="EJX3" s="525"/>
      <c r="EJY3" s="525"/>
      <c r="EJZ3" s="525"/>
      <c r="EKA3" s="525"/>
      <c r="EKB3" s="525"/>
      <c r="EKC3" s="525"/>
      <c r="EKD3" s="525"/>
      <c r="EKE3" s="525"/>
      <c r="EKF3" s="525"/>
      <c r="EKG3" s="525"/>
      <c r="EKH3" s="525"/>
      <c r="EKI3" s="525"/>
      <c r="EKJ3" s="525"/>
      <c r="EKK3" s="525"/>
      <c r="EKL3" s="525"/>
      <c r="EKM3" s="525"/>
      <c r="EKN3" s="525"/>
      <c r="EKO3" s="525"/>
      <c r="EKP3" s="525"/>
      <c r="EKQ3" s="525"/>
      <c r="EKR3" s="525"/>
      <c r="EKS3" s="525"/>
      <c r="EKT3" s="525"/>
      <c r="EKU3" s="525"/>
      <c r="EKV3" s="525"/>
      <c r="EKW3" s="525"/>
      <c r="EKX3" s="525"/>
      <c r="EKY3" s="525"/>
      <c r="EKZ3" s="525"/>
      <c r="ELA3" s="525"/>
      <c r="ELB3" s="525"/>
      <c r="ELC3" s="525"/>
      <c r="ELD3" s="525"/>
      <c r="ELE3" s="525"/>
      <c r="ELF3" s="525"/>
      <c r="ELG3" s="525"/>
      <c r="ELH3" s="525"/>
      <c r="ELI3" s="525"/>
      <c r="ELJ3" s="525"/>
      <c r="ELK3" s="525"/>
      <c r="ELL3" s="525"/>
      <c r="ELM3" s="525"/>
      <c r="ELN3" s="525"/>
      <c r="ELO3" s="525"/>
      <c r="ELP3" s="525"/>
      <c r="ELQ3" s="525"/>
      <c r="ELR3" s="525"/>
      <c r="ELS3" s="525"/>
      <c r="ELT3" s="525"/>
      <c r="ELU3" s="525"/>
      <c r="ELV3" s="525"/>
      <c r="ELW3" s="525"/>
      <c r="ELX3" s="525"/>
      <c r="ELY3" s="525"/>
      <c r="ELZ3" s="525"/>
      <c r="EMA3" s="525"/>
      <c r="EMB3" s="525"/>
      <c r="EMC3" s="525"/>
      <c r="EMD3" s="525"/>
      <c r="EME3" s="525"/>
      <c r="EMF3" s="525"/>
      <c r="EMG3" s="525"/>
      <c r="EMH3" s="525"/>
      <c r="EMI3" s="525"/>
      <c r="EMJ3" s="525"/>
      <c r="EMK3" s="525"/>
      <c r="EML3" s="525"/>
      <c r="EMM3" s="525"/>
      <c r="EMN3" s="525"/>
      <c r="EMO3" s="525"/>
      <c r="EMP3" s="525"/>
      <c r="EMQ3" s="525"/>
      <c r="EMR3" s="525"/>
      <c r="EMS3" s="525"/>
      <c r="EMT3" s="525"/>
      <c r="EMU3" s="525"/>
      <c r="EMV3" s="525"/>
      <c r="EMW3" s="525"/>
      <c r="EMX3" s="525"/>
      <c r="EMY3" s="525"/>
      <c r="EMZ3" s="525"/>
      <c r="ENA3" s="525"/>
      <c r="ENB3" s="525"/>
      <c r="ENC3" s="525"/>
      <c r="END3" s="525"/>
      <c r="ENE3" s="525"/>
      <c r="ENF3" s="525"/>
      <c r="ENG3" s="525"/>
      <c r="ENH3" s="525"/>
      <c r="ENI3" s="525"/>
      <c r="ENJ3" s="525"/>
      <c r="ENK3" s="525"/>
      <c r="ENL3" s="525"/>
      <c r="ENM3" s="525"/>
      <c r="ENN3" s="525"/>
      <c r="ENO3" s="525"/>
      <c r="ENP3" s="525"/>
      <c r="ENQ3" s="525"/>
      <c r="ENR3" s="525"/>
      <c r="ENS3" s="525"/>
      <c r="ENT3" s="525"/>
      <c r="ENU3" s="525"/>
      <c r="ENV3" s="525"/>
      <c r="ENW3" s="525"/>
      <c r="ENX3" s="525"/>
      <c r="ENY3" s="525"/>
      <c r="ENZ3" s="525"/>
      <c r="EOA3" s="525"/>
      <c r="EOB3" s="525"/>
      <c r="EOC3" s="525"/>
      <c r="EOD3" s="525"/>
      <c r="EOE3" s="525"/>
      <c r="EOF3" s="525"/>
      <c r="EOG3" s="525"/>
      <c r="EOH3" s="525"/>
      <c r="EOI3" s="525"/>
      <c r="EOJ3" s="525"/>
      <c r="EOK3" s="525"/>
      <c r="EOL3" s="525"/>
      <c r="EOM3" s="525"/>
      <c r="EON3" s="525"/>
      <c r="EOO3" s="525"/>
      <c r="EOP3" s="525"/>
      <c r="EOQ3" s="525"/>
      <c r="EOR3" s="525"/>
      <c r="EOS3" s="525"/>
      <c r="EOT3" s="525"/>
      <c r="EOU3" s="525"/>
      <c r="EOV3" s="525"/>
      <c r="EOW3" s="525"/>
      <c r="EOX3" s="525"/>
      <c r="EOY3" s="525"/>
      <c r="EOZ3" s="525"/>
      <c r="EPA3" s="525"/>
      <c r="EPB3" s="525"/>
      <c r="EPC3" s="525"/>
      <c r="EPD3" s="525"/>
      <c r="EPE3" s="525"/>
      <c r="EPF3" s="525"/>
      <c r="EPG3" s="525"/>
      <c r="EPH3" s="525"/>
      <c r="EPI3" s="525"/>
      <c r="EPJ3" s="525"/>
      <c r="EPK3" s="525"/>
      <c r="EPL3" s="525"/>
      <c r="EPM3" s="525"/>
      <c r="EPN3" s="525"/>
      <c r="EPO3" s="525"/>
      <c r="EPP3" s="525"/>
      <c r="EPQ3" s="525"/>
      <c r="EPR3" s="525"/>
      <c r="EPS3" s="525"/>
      <c r="EPT3" s="525"/>
      <c r="EPU3" s="525"/>
      <c r="EPV3" s="525"/>
      <c r="EPW3" s="525"/>
      <c r="EPX3" s="525"/>
      <c r="EPY3" s="525"/>
      <c r="EPZ3" s="525"/>
      <c r="EQA3" s="525"/>
      <c r="EQB3" s="525"/>
      <c r="EQC3" s="525"/>
      <c r="EQD3" s="525"/>
      <c r="EQE3" s="525"/>
      <c r="EQF3" s="525"/>
      <c r="EQG3" s="525"/>
      <c r="EQH3" s="525"/>
      <c r="EQI3" s="525"/>
      <c r="EQJ3" s="525"/>
      <c r="EQK3" s="525"/>
      <c r="EQL3" s="525"/>
      <c r="EQM3" s="525"/>
      <c r="EQN3" s="525"/>
      <c r="EQO3" s="525"/>
      <c r="EQP3" s="525"/>
      <c r="EQQ3" s="525"/>
      <c r="EQR3" s="525"/>
      <c r="EQS3" s="525"/>
      <c r="EQT3" s="525"/>
      <c r="EQU3" s="525"/>
      <c r="EQV3" s="525"/>
      <c r="EQW3" s="525"/>
      <c r="EQX3" s="525"/>
      <c r="EQY3" s="525"/>
      <c r="EQZ3" s="525"/>
      <c r="ERA3" s="525"/>
      <c r="ERB3" s="525"/>
      <c r="ERC3" s="525"/>
      <c r="ERD3" s="525"/>
      <c r="ERE3" s="525"/>
      <c r="ERF3" s="525"/>
      <c r="ERG3" s="525"/>
      <c r="ERH3" s="525"/>
      <c r="ERI3" s="525"/>
      <c r="ERJ3" s="525"/>
      <c r="ERK3" s="525"/>
      <c r="ERL3" s="525"/>
      <c r="ERM3" s="525"/>
      <c r="ERN3" s="525"/>
      <c r="ERO3" s="525"/>
      <c r="ERP3" s="525"/>
      <c r="ERQ3" s="525"/>
      <c r="ERR3" s="525"/>
      <c r="ERS3" s="525"/>
      <c r="ERT3" s="525"/>
      <c r="ERU3" s="525"/>
      <c r="ERV3" s="525"/>
      <c r="ERW3" s="525"/>
      <c r="ERX3" s="525"/>
      <c r="ERY3" s="525"/>
      <c r="ERZ3" s="525"/>
      <c r="ESA3" s="525"/>
      <c r="ESB3" s="525"/>
      <c r="ESC3" s="525"/>
      <c r="ESD3" s="525"/>
      <c r="ESE3" s="525"/>
      <c r="ESF3" s="525"/>
      <c r="ESG3" s="525"/>
      <c r="ESH3" s="525"/>
      <c r="ESI3" s="525"/>
      <c r="ESJ3" s="525"/>
      <c r="ESK3" s="525"/>
      <c r="ESL3" s="525"/>
      <c r="ESM3" s="525"/>
      <c r="ESN3" s="525"/>
      <c r="ESO3" s="525"/>
      <c r="ESP3" s="525"/>
      <c r="ESQ3" s="525"/>
      <c r="ESR3" s="525"/>
      <c r="ESS3" s="525"/>
      <c r="EST3" s="525"/>
      <c r="ESU3" s="525"/>
      <c r="ESV3" s="525"/>
      <c r="ESW3" s="525"/>
      <c r="ESX3" s="525"/>
      <c r="ESY3" s="525"/>
      <c r="ESZ3" s="525"/>
      <c r="ETA3" s="525"/>
      <c r="ETB3" s="525"/>
      <c r="ETC3" s="525"/>
      <c r="ETD3" s="525"/>
      <c r="ETE3" s="525"/>
      <c r="ETF3" s="525"/>
      <c r="ETG3" s="525"/>
      <c r="ETH3" s="525"/>
      <c r="ETI3" s="525"/>
      <c r="ETJ3" s="525"/>
      <c r="ETK3" s="525"/>
      <c r="ETL3" s="525"/>
      <c r="ETM3" s="525"/>
      <c r="ETN3" s="525"/>
      <c r="ETO3" s="525"/>
      <c r="ETP3" s="525"/>
      <c r="ETQ3" s="525"/>
      <c r="ETR3" s="525"/>
      <c r="ETS3" s="525"/>
      <c r="ETT3" s="525"/>
      <c r="ETU3" s="525"/>
      <c r="ETV3" s="525"/>
      <c r="ETW3" s="525"/>
      <c r="ETX3" s="525"/>
      <c r="ETY3" s="525"/>
      <c r="ETZ3" s="525"/>
      <c r="EUA3" s="525"/>
      <c r="EUB3" s="525"/>
      <c r="EUC3" s="525"/>
      <c r="EUD3" s="525"/>
      <c r="EUE3" s="525"/>
      <c r="EUF3" s="525"/>
      <c r="EUG3" s="525"/>
      <c r="EUH3" s="525"/>
      <c r="EUI3" s="525"/>
      <c r="EUJ3" s="525"/>
      <c r="EUK3" s="525"/>
      <c r="EUL3" s="525"/>
      <c r="EUM3" s="525"/>
      <c r="EUN3" s="525"/>
      <c r="EUO3" s="525"/>
      <c r="EUP3" s="525"/>
      <c r="EUQ3" s="525"/>
      <c r="EUR3" s="525"/>
      <c r="EUS3" s="525"/>
      <c r="EUT3" s="525"/>
      <c r="EUU3" s="525"/>
      <c r="EUV3" s="525"/>
      <c r="EUW3" s="525"/>
      <c r="EUX3" s="525"/>
      <c r="EUY3" s="525"/>
      <c r="EUZ3" s="525"/>
      <c r="EVA3" s="525"/>
      <c r="EVB3" s="525"/>
      <c r="EVC3" s="525"/>
      <c r="EVD3" s="525"/>
      <c r="EVE3" s="525"/>
      <c r="EVF3" s="525"/>
      <c r="EVG3" s="525"/>
      <c r="EVH3" s="525"/>
      <c r="EVI3" s="525"/>
      <c r="EVJ3" s="525"/>
      <c r="EVK3" s="525"/>
      <c r="EVL3" s="525"/>
      <c r="EVM3" s="525"/>
      <c r="EVN3" s="525"/>
      <c r="EVO3" s="525"/>
      <c r="EVP3" s="525"/>
      <c r="EVQ3" s="525"/>
      <c r="EVR3" s="525"/>
      <c r="EVS3" s="525"/>
      <c r="EVT3" s="525"/>
      <c r="EVU3" s="525"/>
      <c r="EVV3" s="525"/>
      <c r="EVW3" s="525"/>
      <c r="EVX3" s="525"/>
      <c r="EVY3" s="525"/>
      <c r="EVZ3" s="525"/>
      <c r="EWA3" s="525"/>
      <c r="EWB3" s="525"/>
      <c r="EWC3" s="525"/>
      <c r="EWD3" s="525"/>
      <c r="EWE3" s="525"/>
      <c r="EWF3" s="525"/>
      <c r="EWG3" s="525"/>
      <c r="EWH3" s="525"/>
      <c r="EWI3" s="525"/>
      <c r="EWJ3" s="525"/>
      <c r="EWK3" s="525"/>
      <c r="EWL3" s="525"/>
      <c r="EWM3" s="525"/>
      <c r="EWN3" s="525"/>
      <c r="EWO3" s="525"/>
      <c r="EWP3" s="525"/>
      <c r="EWQ3" s="525"/>
      <c r="EWR3" s="525"/>
      <c r="EWS3" s="525"/>
      <c r="EWT3" s="525"/>
      <c r="EWU3" s="525"/>
      <c r="EWV3" s="525"/>
      <c r="EWW3" s="525"/>
      <c r="EWX3" s="525"/>
      <c r="EWY3" s="525"/>
      <c r="EWZ3" s="525"/>
      <c r="EXA3" s="525"/>
      <c r="EXB3" s="525"/>
      <c r="EXC3" s="525"/>
      <c r="EXD3" s="525"/>
      <c r="EXE3" s="525"/>
      <c r="EXF3" s="525"/>
      <c r="EXG3" s="525"/>
      <c r="EXH3" s="525"/>
      <c r="EXI3" s="525"/>
      <c r="EXJ3" s="525"/>
      <c r="EXK3" s="525"/>
      <c r="EXL3" s="525"/>
      <c r="EXM3" s="525"/>
      <c r="EXN3" s="525"/>
      <c r="EXO3" s="525"/>
      <c r="EXP3" s="525"/>
      <c r="EXQ3" s="525"/>
      <c r="EXR3" s="525"/>
      <c r="EXS3" s="525"/>
      <c r="EXT3" s="525"/>
      <c r="EXU3" s="525"/>
      <c r="EXV3" s="525"/>
      <c r="EXW3" s="525"/>
      <c r="EXX3" s="525"/>
      <c r="EXY3" s="525"/>
      <c r="EXZ3" s="525"/>
      <c r="EYA3" s="525"/>
      <c r="EYB3" s="525"/>
      <c r="EYC3" s="525"/>
      <c r="EYD3" s="525"/>
      <c r="EYE3" s="525"/>
      <c r="EYF3" s="525"/>
      <c r="EYG3" s="525"/>
      <c r="EYH3" s="525"/>
      <c r="EYI3" s="525"/>
      <c r="EYJ3" s="525"/>
      <c r="EYK3" s="525"/>
      <c r="EYL3" s="525"/>
      <c r="EYM3" s="525"/>
      <c r="EYN3" s="525"/>
      <c r="EYO3" s="525"/>
      <c r="EYP3" s="525"/>
      <c r="EYQ3" s="525"/>
      <c r="EYR3" s="525"/>
      <c r="EYS3" s="525"/>
      <c r="EYT3" s="525"/>
      <c r="EYU3" s="525"/>
      <c r="EYV3" s="525"/>
      <c r="EYW3" s="525"/>
      <c r="EYX3" s="525"/>
      <c r="EYY3" s="525"/>
      <c r="EYZ3" s="525"/>
      <c r="EZA3" s="525"/>
      <c r="EZB3" s="525"/>
      <c r="EZC3" s="525"/>
      <c r="EZD3" s="525"/>
      <c r="EZE3" s="525"/>
      <c r="EZF3" s="525"/>
      <c r="EZG3" s="525"/>
      <c r="EZH3" s="525"/>
      <c r="EZI3" s="525"/>
      <c r="EZJ3" s="525"/>
      <c r="EZK3" s="525"/>
      <c r="EZL3" s="525"/>
      <c r="EZM3" s="525"/>
      <c r="EZN3" s="525"/>
      <c r="EZO3" s="525"/>
      <c r="EZP3" s="525"/>
      <c r="EZQ3" s="525"/>
      <c r="EZR3" s="525"/>
      <c r="EZS3" s="525"/>
      <c r="EZT3" s="525"/>
      <c r="EZU3" s="525"/>
      <c r="EZV3" s="525"/>
      <c r="EZW3" s="525"/>
      <c r="EZX3" s="525"/>
      <c r="EZY3" s="525"/>
      <c r="EZZ3" s="525"/>
      <c r="FAA3" s="525"/>
      <c r="FAB3" s="525"/>
      <c r="FAC3" s="525"/>
      <c r="FAD3" s="525"/>
      <c r="FAE3" s="525"/>
      <c r="FAF3" s="525"/>
      <c r="FAG3" s="525"/>
      <c r="FAH3" s="525"/>
      <c r="FAI3" s="525"/>
      <c r="FAJ3" s="525"/>
      <c r="FAK3" s="525"/>
      <c r="FAL3" s="525"/>
      <c r="FAM3" s="525"/>
      <c r="FAN3" s="525"/>
      <c r="FAO3" s="525"/>
      <c r="FAP3" s="525"/>
      <c r="FAQ3" s="525"/>
      <c r="FAR3" s="525"/>
      <c r="FAS3" s="525"/>
      <c r="FAT3" s="525"/>
      <c r="FAU3" s="525"/>
      <c r="FAV3" s="525"/>
      <c r="FAW3" s="525"/>
      <c r="FAX3" s="525"/>
      <c r="FAY3" s="525"/>
      <c r="FAZ3" s="525"/>
      <c r="FBA3" s="525"/>
      <c r="FBB3" s="525"/>
      <c r="FBC3" s="525"/>
      <c r="FBD3" s="525"/>
      <c r="FBE3" s="525"/>
      <c r="FBF3" s="525"/>
      <c r="FBG3" s="525"/>
      <c r="FBH3" s="525"/>
      <c r="FBI3" s="525"/>
      <c r="FBJ3" s="525"/>
      <c r="FBK3" s="525"/>
      <c r="FBL3" s="525"/>
      <c r="FBM3" s="525"/>
      <c r="FBN3" s="525"/>
      <c r="FBO3" s="525"/>
      <c r="FBP3" s="525"/>
      <c r="FBQ3" s="525"/>
      <c r="FBR3" s="525"/>
      <c r="FBS3" s="525"/>
      <c r="FBT3" s="525"/>
      <c r="FBU3" s="525"/>
      <c r="FBV3" s="525"/>
      <c r="FBW3" s="525"/>
      <c r="FBX3" s="525"/>
      <c r="FBY3" s="525"/>
      <c r="FBZ3" s="525"/>
      <c r="FCA3" s="525"/>
      <c r="FCB3" s="525"/>
      <c r="FCC3" s="525"/>
      <c r="FCD3" s="525"/>
      <c r="FCE3" s="525"/>
      <c r="FCF3" s="525"/>
      <c r="FCG3" s="525"/>
      <c r="FCH3" s="525"/>
      <c r="FCI3" s="525"/>
      <c r="FCJ3" s="525"/>
      <c r="FCK3" s="525"/>
      <c r="FCL3" s="525"/>
      <c r="FCM3" s="525"/>
      <c r="FCN3" s="525"/>
      <c r="FCO3" s="525"/>
      <c r="FCP3" s="525"/>
      <c r="FCQ3" s="525"/>
      <c r="FCR3" s="525"/>
      <c r="FCS3" s="525"/>
      <c r="FCT3" s="525"/>
      <c r="FCU3" s="525"/>
      <c r="FCV3" s="525"/>
      <c r="FCW3" s="525"/>
      <c r="FCX3" s="525"/>
      <c r="FCY3" s="525"/>
      <c r="FCZ3" s="525"/>
      <c r="FDA3" s="525"/>
      <c r="FDB3" s="525"/>
      <c r="FDC3" s="525"/>
      <c r="FDD3" s="525"/>
      <c r="FDE3" s="525"/>
      <c r="FDF3" s="525"/>
      <c r="FDG3" s="525"/>
      <c r="FDH3" s="525"/>
      <c r="FDI3" s="525"/>
      <c r="FDJ3" s="525"/>
      <c r="FDK3" s="525"/>
      <c r="FDL3" s="525"/>
      <c r="FDM3" s="525"/>
      <c r="FDN3" s="525"/>
      <c r="FDO3" s="525"/>
      <c r="FDP3" s="525"/>
      <c r="FDQ3" s="525"/>
      <c r="FDR3" s="525"/>
      <c r="FDS3" s="525"/>
      <c r="FDT3" s="525"/>
      <c r="FDU3" s="525"/>
      <c r="FDV3" s="525"/>
      <c r="FDW3" s="525"/>
      <c r="FDX3" s="525"/>
      <c r="FDY3" s="525"/>
      <c r="FDZ3" s="525"/>
      <c r="FEA3" s="525"/>
      <c r="FEB3" s="525"/>
      <c r="FEC3" s="525"/>
      <c r="FED3" s="525"/>
      <c r="FEE3" s="525"/>
      <c r="FEF3" s="525"/>
      <c r="FEG3" s="525"/>
      <c r="FEH3" s="525"/>
      <c r="FEI3" s="525"/>
      <c r="FEJ3" s="525"/>
      <c r="FEK3" s="525"/>
      <c r="FEL3" s="525"/>
      <c r="FEM3" s="525"/>
      <c r="FEN3" s="525"/>
      <c r="FEO3" s="525"/>
      <c r="FEP3" s="525"/>
      <c r="FEQ3" s="525"/>
      <c r="FER3" s="525"/>
      <c r="FES3" s="525"/>
      <c r="FET3" s="525"/>
      <c r="FEU3" s="525"/>
      <c r="FEV3" s="525"/>
      <c r="FEW3" s="525"/>
      <c r="FEX3" s="525"/>
      <c r="FEY3" s="525"/>
      <c r="FEZ3" s="525"/>
      <c r="FFA3" s="525"/>
      <c r="FFB3" s="525"/>
      <c r="FFC3" s="525"/>
      <c r="FFD3" s="525"/>
      <c r="FFE3" s="525"/>
      <c r="FFF3" s="525"/>
      <c r="FFG3" s="525"/>
      <c r="FFH3" s="525"/>
      <c r="FFI3" s="525"/>
      <c r="FFJ3" s="525"/>
      <c r="FFK3" s="525"/>
      <c r="FFL3" s="525"/>
      <c r="FFM3" s="525"/>
      <c r="FFN3" s="525"/>
      <c r="FFO3" s="525"/>
      <c r="FFP3" s="525"/>
      <c r="FFQ3" s="525"/>
      <c r="FFR3" s="525"/>
      <c r="FFS3" s="525"/>
      <c r="FFT3" s="525"/>
      <c r="FFU3" s="525"/>
      <c r="FFV3" s="525"/>
      <c r="FFW3" s="525"/>
      <c r="FFX3" s="525"/>
      <c r="FFY3" s="525"/>
      <c r="FFZ3" s="525"/>
      <c r="FGA3" s="525"/>
      <c r="FGB3" s="525"/>
      <c r="FGC3" s="525"/>
      <c r="FGD3" s="525"/>
      <c r="FGE3" s="525"/>
      <c r="FGF3" s="525"/>
      <c r="FGG3" s="525"/>
      <c r="FGH3" s="525"/>
      <c r="FGI3" s="525"/>
      <c r="FGJ3" s="525"/>
      <c r="FGK3" s="525"/>
      <c r="FGL3" s="525"/>
      <c r="FGM3" s="525"/>
      <c r="FGN3" s="525"/>
      <c r="FGO3" s="525"/>
      <c r="FGP3" s="525"/>
      <c r="FGQ3" s="525"/>
      <c r="FGR3" s="525"/>
      <c r="FGS3" s="525"/>
      <c r="FGT3" s="525"/>
      <c r="FGU3" s="525"/>
      <c r="FGV3" s="525"/>
      <c r="FGW3" s="525"/>
      <c r="FGX3" s="525"/>
      <c r="FGY3" s="525"/>
      <c r="FGZ3" s="525"/>
      <c r="FHA3" s="525"/>
      <c r="FHB3" s="525"/>
      <c r="FHC3" s="525"/>
      <c r="FHD3" s="525"/>
      <c r="FHE3" s="525"/>
      <c r="FHF3" s="525"/>
      <c r="FHG3" s="525"/>
      <c r="FHH3" s="525"/>
      <c r="FHI3" s="525"/>
      <c r="FHJ3" s="525"/>
      <c r="FHK3" s="525"/>
      <c r="FHL3" s="525"/>
      <c r="FHM3" s="525"/>
      <c r="FHN3" s="525"/>
      <c r="FHO3" s="525"/>
      <c r="FHP3" s="525"/>
      <c r="FHQ3" s="525"/>
      <c r="FHR3" s="525"/>
      <c r="FHS3" s="525"/>
      <c r="FHT3" s="525"/>
      <c r="FHU3" s="525"/>
      <c r="FHV3" s="525"/>
      <c r="FHW3" s="525"/>
      <c r="FHX3" s="525"/>
      <c r="FHY3" s="525"/>
      <c r="FHZ3" s="525"/>
      <c r="FIA3" s="525"/>
      <c r="FIB3" s="525"/>
      <c r="FIC3" s="525"/>
      <c r="FID3" s="525"/>
      <c r="FIE3" s="525"/>
      <c r="FIF3" s="525"/>
      <c r="FIG3" s="525"/>
      <c r="FIH3" s="525"/>
      <c r="FII3" s="525"/>
      <c r="FIJ3" s="525"/>
      <c r="FIK3" s="525"/>
      <c r="FIL3" s="525"/>
      <c r="FIM3" s="525"/>
      <c r="FIN3" s="525"/>
      <c r="FIO3" s="525"/>
      <c r="FIP3" s="525"/>
      <c r="FIQ3" s="525"/>
      <c r="FIR3" s="525"/>
      <c r="FIS3" s="525"/>
      <c r="FIT3" s="525"/>
      <c r="FIU3" s="525"/>
      <c r="FIV3" s="525"/>
      <c r="FIW3" s="525"/>
      <c r="FIX3" s="525"/>
      <c r="FIY3" s="525"/>
      <c r="FIZ3" s="525"/>
      <c r="FJA3" s="525"/>
      <c r="FJB3" s="525"/>
      <c r="FJC3" s="525"/>
      <c r="FJD3" s="525"/>
      <c r="FJE3" s="525"/>
      <c r="FJF3" s="525"/>
      <c r="FJG3" s="525"/>
      <c r="FJH3" s="525"/>
      <c r="FJI3" s="525"/>
      <c r="FJJ3" s="525"/>
      <c r="FJK3" s="525"/>
      <c r="FJL3" s="525"/>
      <c r="FJM3" s="525"/>
      <c r="FJN3" s="525"/>
      <c r="FJO3" s="525"/>
      <c r="FJP3" s="525"/>
      <c r="FJQ3" s="525"/>
      <c r="FJR3" s="525"/>
      <c r="FJS3" s="525"/>
      <c r="FJT3" s="525"/>
      <c r="FJU3" s="525"/>
      <c r="FJV3" s="525"/>
      <c r="FJW3" s="525"/>
      <c r="FJX3" s="525"/>
      <c r="FJY3" s="525"/>
      <c r="FJZ3" s="525"/>
      <c r="FKA3" s="525"/>
      <c r="FKB3" s="525"/>
      <c r="FKC3" s="525"/>
      <c r="FKD3" s="525"/>
      <c r="FKE3" s="525"/>
      <c r="FKF3" s="525"/>
      <c r="FKG3" s="525"/>
      <c r="FKH3" s="525"/>
      <c r="FKI3" s="525"/>
      <c r="FKJ3" s="525"/>
      <c r="FKK3" s="525"/>
      <c r="FKL3" s="525"/>
      <c r="FKM3" s="525"/>
      <c r="FKN3" s="525"/>
      <c r="FKO3" s="525"/>
      <c r="FKP3" s="525"/>
      <c r="FKQ3" s="525"/>
      <c r="FKR3" s="525"/>
      <c r="FKS3" s="525"/>
      <c r="FKT3" s="525"/>
      <c r="FKU3" s="525"/>
      <c r="FKV3" s="525"/>
      <c r="FKW3" s="525"/>
      <c r="FKX3" s="525"/>
      <c r="FKY3" s="525"/>
      <c r="FKZ3" s="525"/>
      <c r="FLA3" s="525"/>
      <c r="FLB3" s="525"/>
      <c r="FLC3" s="525"/>
      <c r="FLD3" s="525"/>
      <c r="FLE3" s="525"/>
      <c r="FLF3" s="525"/>
      <c r="FLG3" s="525"/>
      <c r="FLH3" s="525"/>
      <c r="FLI3" s="525"/>
      <c r="FLJ3" s="525"/>
      <c r="FLK3" s="525"/>
      <c r="FLL3" s="525"/>
      <c r="FLM3" s="525"/>
      <c r="FLN3" s="525"/>
      <c r="FLO3" s="525"/>
      <c r="FLP3" s="525"/>
      <c r="FLQ3" s="525"/>
      <c r="FLR3" s="525"/>
      <c r="FLS3" s="525"/>
      <c r="FLT3" s="525"/>
      <c r="FLU3" s="525"/>
      <c r="FLV3" s="525"/>
      <c r="FLW3" s="525"/>
      <c r="FLX3" s="525"/>
      <c r="FLY3" s="525"/>
      <c r="FLZ3" s="525"/>
      <c r="FMA3" s="525"/>
      <c r="FMB3" s="525"/>
      <c r="FMC3" s="525"/>
      <c r="FMD3" s="525"/>
      <c r="FME3" s="525"/>
      <c r="FMF3" s="525"/>
      <c r="FMG3" s="525"/>
      <c r="FMH3" s="525"/>
      <c r="FMI3" s="525"/>
      <c r="FMJ3" s="525"/>
      <c r="FMK3" s="525"/>
      <c r="FML3" s="525"/>
      <c r="FMM3" s="525"/>
      <c r="FMN3" s="525"/>
      <c r="FMO3" s="525"/>
      <c r="FMP3" s="525"/>
      <c r="FMQ3" s="525"/>
      <c r="FMR3" s="525"/>
      <c r="FMS3" s="525"/>
      <c r="FMT3" s="525"/>
      <c r="FMU3" s="525"/>
      <c r="FMV3" s="525"/>
      <c r="FMW3" s="525"/>
      <c r="FMX3" s="525"/>
      <c r="FMY3" s="525"/>
      <c r="FMZ3" s="525"/>
      <c r="FNA3" s="525"/>
      <c r="FNB3" s="525"/>
      <c r="FNC3" s="525"/>
      <c r="FND3" s="525"/>
      <c r="FNE3" s="525"/>
      <c r="FNF3" s="525"/>
      <c r="FNG3" s="525"/>
      <c r="FNH3" s="525"/>
      <c r="FNI3" s="525"/>
      <c r="FNJ3" s="525"/>
      <c r="FNK3" s="525"/>
      <c r="FNL3" s="525"/>
      <c r="FNM3" s="525"/>
      <c r="FNN3" s="525"/>
      <c r="FNO3" s="525"/>
      <c r="FNP3" s="525"/>
      <c r="FNQ3" s="525"/>
      <c r="FNR3" s="525"/>
      <c r="FNS3" s="525"/>
      <c r="FNT3" s="525"/>
      <c r="FNU3" s="525"/>
      <c r="FNV3" s="525"/>
      <c r="FNW3" s="525"/>
      <c r="FNX3" s="525"/>
      <c r="FNY3" s="525"/>
      <c r="FNZ3" s="525"/>
      <c r="FOA3" s="525"/>
      <c r="FOB3" s="525"/>
      <c r="FOC3" s="525"/>
      <c r="FOD3" s="525"/>
      <c r="FOE3" s="525"/>
      <c r="FOF3" s="525"/>
      <c r="FOG3" s="525"/>
      <c r="FOH3" s="525"/>
      <c r="FOI3" s="525"/>
      <c r="FOJ3" s="525"/>
      <c r="FOK3" s="525"/>
      <c r="FOL3" s="525"/>
      <c r="FOM3" s="525"/>
      <c r="FON3" s="525"/>
      <c r="FOO3" s="525"/>
      <c r="FOP3" s="525"/>
      <c r="FOQ3" s="525"/>
      <c r="FOR3" s="525"/>
      <c r="FOS3" s="525"/>
      <c r="FOT3" s="525"/>
      <c r="FOU3" s="525"/>
      <c r="FOV3" s="525"/>
      <c r="FOW3" s="525"/>
      <c r="FOX3" s="525"/>
      <c r="FOY3" s="525"/>
      <c r="FOZ3" s="525"/>
      <c r="FPA3" s="525"/>
      <c r="FPB3" s="525"/>
      <c r="FPC3" s="525"/>
      <c r="FPD3" s="525"/>
      <c r="FPE3" s="525"/>
      <c r="FPF3" s="525"/>
      <c r="FPG3" s="525"/>
      <c r="FPH3" s="525"/>
      <c r="FPI3" s="525"/>
      <c r="FPJ3" s="525"/>
      <c r="FPK3" s="525"/>
      <c r="FPL3" s="525"/>
      <c r="FPM3" s="525"/>
      <c r="FPN3" s="525"/>
      <c r="FPO3" s="525"/>
      <c r="FPP3" s="525"/>
      <c r="FPQ3" s="525"/>
      <c r="FPR3" s="525"/>
      <c r="FPS3" s="525"/>
      <c r="FPT3" s="525"/>
      <c r="FPU3" s="525"/>
      <c r="FPV3" s="525"/>
      <c r="FPW3" s="525"/>
      <c r="FPX3" s="525"/>
      <c r="FPY3" s="525"/>
      <c r="FPZ3" s="525"/>
      <c r="FQA3" s="525"/>
      <c r="FQB3" s="525"/>
      <c r="FQC3" s="525"/>
      <c r="FQD3" s="525"/>
      <c r="FQE3" s="525"/>
      <c r="FQF3" s="525"/>
      <c r="FQG3" s="525"/>
      <c r="FQH3" s="525"/>
      <c r="FQI3" s="525"/>
      <c r="FQJ3" s="525"/>
      <c r="FQK3" s="525"/>
      <c r="FQL3" s="525"/>
      <c r="FQM3" s="525"/>
      <c r="FQN3" s="525"/>
      <c r="FQO3" s="525"/>
      <c r="FQP3" s="525"/>
      <c r="FQQ3" s="525"/>
      <c r="FQR3" s="525"/>
      <c r="FQS3" s="525"/>
      <c r="FQT3" s="525"/>
      <c r="FQU3" s="525"/>
      <c r="FQV3" s="525"/>
      <c r="FQW3" s="525"/>
      <c r="FQX3" s="525"/>
      <c r="FQY3" s="525"/>
      <c r="FQZ3" s="525"/>
      <c r="FRA3" s="525"/>
      <c r="FRB3" s="525"/>
      <c r="FRC3" s="525"/>
      <c r="FRD3" s="525"/>
      <c r="FRE3" s="525"/>
      <c r="FRF3" s="525"/>
      <c r="FRG3" s="525"/>
      <c r="FRH3" s="525"/>
      <c r="FRI3" s="525"/>
      <c r="FRJ3" s="525"/>
      <c r="FRK3" s="525"/>
      <c r="FRL3" s="525"/>
      <c r="FRM3" s="525"/>
      <c r="FRN3" s="525"/>
      <c r="FRO3" s="525"/>
      <c r="FRP3" s="525"/>
      <c r="FRQ3" s="525"/>
      <c r="FRR3" s="525"/>
      <c r="FRS3" s="525"/>
      <c r="FRT3" s="525"/>
      <c r="FRU3" s="525"/>
      <c r="FRV3" s="525"/>
      <c r="FRW3" s="525"/>
      <c r="FRX3" s="525"/>
      <c r="FRY3" s="525"/>
      <c r="FRZ3" s="525"/>
      <c r="FSA3" s="525"/>
      <c r="FSB3" s="525"/>
      <c r="FSC3" s="525"/>
      <c r="FSD3" s="525"/>
      <c r="FSE3" s="525"/>
      <c r="FSF3" s="525"/>
      <c r="FSG3" s="525"/>
      <c r="FSH3" s="525"/>
      <c r="FSI3" s="525"/>
      <c r="FSJ3" s="525"/>
      <c r="FSK3" s="525"/>
      <c r="FSL3" s="525"/>
      <c r="FSM3" s="525"/>
      <c r="FSN3" s="525"/>
      <c r="FSO3" s="525"/>
      <c r="FSP3" s="525"/>
      <c r="FSQ3" s="525"/>
      <c r="FSR3" s="525"/>
      <c r="FSS3" s="525"/>
      <c r="FST3" s="525"/>
      <c r="FSU3" s="525"/>
      <c r="FSV3" s="525"/>
      <c r="FSW3" s="525"/>
      <c r="FSX3" s="525"/>
      <c r="FSY3" s="525"/>
      <c r="FSZ3" s="525"/>
      <c r="FTA3" s="525"/>
      <c r="FTB3" s="525"/>
      <c r="FTC3" s="525"/>
      <c r="FTD3" s="525"/>
      <c r="FTE3" s="525"/>
      <c r="FTF3" s="525"/>
      <c r="FTG3" s="525"/>
      <c r="FTH3" s="525"/>
      <c r="FTI3" s="525"/>
      <c r="FTJ3" s="525"/>
      <c r="FTK3" s="525"/>
      <c r="FTL3" s="525"/>
      <c r="FTM3" s="525"/>
      <c r="FTN3" s="525"/>
      <c r="FTO3" s="525"/>
      <c r="FTP3" s="525"/>
      <c r="FTQ3" s="525"/>
      <c r="FTR3" s="525"/>
      <c r="FTS3" s="525"/>
      <c r="FTT3" s="525"/>
      <c r="FTU3" s="525"/>
      <c r="FTV3" s="525"/>
      <c r="FTW3" s="525"/>
      <c r="FTX3" s="525"/>
      <c r="FTY3" s="525"/>
      <c r="FTZ3" s="525"/>
      <c r="FUA3" s="525"/>
      <c r="FUB3" s="525"/>
      <c r="FUC3" s="525"/>
      <c r="FUD3" s="525"/>
      <c r="FUE3" s="525"/>
      <c r="FUF3" s="525"/>
      <c r="FUG3" s="525"/>
      <c r="FUH3" s="525"/>
      <c r="FUI3" s="525"/>
      <c r="FUJ3" s="525"/>
      <c r="FUK3" s="525"/>
      <c r="FUL3" s="525"/>
      <c r="FUM3" s="525"/>
      <c r="FUN3" s="525"/>
      <c r="FUO3" s="525"/>
      <c r="FUP3" s="525"/>
      <c r="FUQ3" s="525"/>
      <c r="FUR3" s="525"/>
      <c r="FUS3" s="525"/>
      <c r="FUT3" s="525"/>
      <c r="FUU3" s="525"/>
      <c r="FUV3" s="525"/>
      <c r="FUW3" s="525"/>
      <c r="FUX3" s="525"/>
      <c r="FUY3" s="525"/>
      <c r="FUZ3" s="525"/>
      <c r="FVA3" s="525"/>
      <c r="FVB3" s="525"/>
      <c r="FVC3" s="525"/>
      <c r="FVD3" s="525"/>
      <c r="FVE3" s="525"/>
      <c r="FVF3" s="525"/>
      <c r="FVG3" s="525"/>
      <c r="FVH3" s="525"/>
      <c r="FVI3" s="525"/>
      <c r="FVJ3" s="525"/>
      <c r="FVK3" s="525"/>
      <c r="FVL3" s="525"/>
      <c r="FVM3" s="525"/>
      <c r="FVN3" s="525"/>
      <c r="FVO3" s="525"/>
      <c r="FVP3" s="525"/>
      <c r="FVQ3" s="525"/>
      <c r="FVR3" s="525"/>
      <c r="FVS3" s="525"/>
      <c r="FVT3" s="525"/>
      <c r="FVU3" s="525"/>
      <c r="FVV3" s="525"/>
      <c r="FVW3" s="525"/>
      <c r="FVX3" s="525"/>
      <c r="FVY3" s="525"/>
      <c r="FVZ3" s="525"/>
      <c r="FWA3" s="525"/>
      <c r="FWB3" s="525"/>
      <c r="FWC3" s="525"/>
      <c r="FWD3" s="525"/>
      <c r="FWE3" s="525"/>
      <c r="FWF3" s="525"/>
      <c r="FWG3" s="525"/>
      <c r="FWH3" s="525"/>
      <c r="FWI3" s="525"/>
      <c r="FWJ3" s="525"/>
      <c r="FWK3" s="525"/>
      <c r="FWL3" s="525"/>
      <c r="FWM3" s="525"/>
      <c r="FWN3" s="525"/>
      <c r="FWO3" s="525"/>
      <c r="FWP3" s="525"/>
      <c r="FWQ3" s="525"/>
      <c r="FWR3" s="525"/>
      <c r="FWS3" s="525"/>
      <c r="FWT3" s="525"/>
      <c r="FWU3" s="525"/>
      <c r="FWV3" s="525"/>
      <c r="FWW3" s="525"/>
      <c r="FWX3" s="525"/>
      <c r="FWY3" s="525"/>
      <c r="FWZ3" s="525"/>
      <c r="FXA3" s="525"/>
      <c r="FXB3" s="525"/>
      <c r="FXC3" s="525"/>
      <c r="FXD3" s="525"/>
      <c r="FXE3" s="525"/>
      <c r="FXF3" s="525"/>
      <c r="FXG3" s="525"/>
      <c r="FXH3" s="525"/>
      <c r="FXI3" s="525"/>
      <c r="FXJ3" s="525"/>
      <c r="FXK3" s="525"/>
      <c r="FXL3" s="525"/>
      <c r="FXM3" s="525"/>
      <c r="FXN3" s="525"/>
      <c r="FXO3" s="525"/>
      <c r="FXP3" s="525"/>
      <c r="FXQ3" s="525"/>
      <c r="FXR3" s="525"/>
      <c r="FXS3" s="525"/>
      <c r="FXT3" s="525"/>
      <c r="FXU3" s="525"/>
      <c r="FXV3" s="525"/>
      <c r="FXW3" s="525"/>
      <c r="FXX3" s="525"/>
      <c r="FXY3" s="525"/>
      <c r="FXZ3" s="525"/>
      <c r="FYA3" s="525"/>
      <c r="FYB3" s="525"/>
      <c r="FYC3" s="525"/>
      <c r="FYD3" s="525"/>
      <c r="FYE3" s="525"/>
      <c r="FYF3" s="525"/>
      <c r="FYG3" s="525"/>
      <c r="FYH3" s="525"/>
      <c r="FYI3" s="525"/>
      <c r="FYJ3" s="525"/>
      <c r="FYK3" s="525"/>
      <c r="FYL3" s="525"/>
      <c r="FYM3" s="525"/>
      <c r="FYN3" s="525"/>
      <c r="FYO3" s="525"/>
      <c r="FYP3" s="525"/>
      <c r="FYQ3" s="525"/>
      <c r="FYR3" s="525"/>
      <c r="FYS3" s="525"/>
      <c r="FYT3" s="525"/>
      <c r="FYU3" s="525"/>
      <c r="FYV3" s="525"/>
      <c r="FYW3" s="525"/>
      <c r="FYX3" s="525"/>
      <c r="FYY3" s="525"/>
      <c r="FYZ3" s="525"/>
      <c r="FZA3" s="525"/>
      <c r="FZB3" s="525"/>
      <c r="FZC3" s="525"/>
      <c r="FZD3" s="525"/>
      <c r="FZE3" s="525"/>
      <c r="FZF3" s="525"/>
      <c r="FZG3" s="525"/>
      <c r="FZH3" s="525"/>
      <c r="FZI3" s="525"/>
      <c r="FZJ3" s="525"/>
      <c r="FZK3" s="525"/>
      <c r="FZL3" s="525"/>
      <c r="FZM3" s="525"/>
      <c r="FZN3" s="525"/>
      <c r="FZO3" s="525"/>
      <c r="FZP3" s="525"/>
      <c r="FZQ3" s="525"/>
      <c r="FZR3" s="525"/>
      <c r="FZS3" s="525"/>
      <c r="FZT3" s="525"/>
      <c r="FZU3" s="525"/>
      <c r="FZV3" s="525"/>
      <c r="FZW3" s="525"/>
      <c r="FZX3" s="525"/>
      <c r="FZY3" s="525"/>
      <c r="FZZ3" s="525"/>
      <c r="GAA3" s="525"/>
      <c r="GAB3" s="525"/>
      <c r="GAC3" s="525"/>
      <c r="GAD3" s="525"/>
      <c r="GAE3" s="525"/>
      <c r="GAF3" s="525"/>
      <c r="GAG3" s="525"/>
      <c r="GAH3" s="525"/>
      <c r="GAI3" s="525"/>
      <c r="GAJ3" s="525"/>
      <c r="GAK3" s="525"/>
      <c r="GAL3" s="525"/>
      <c r="GAM3" s="525"/>
      <c r="GAN3" s="525"/>
      <c r="GAO3" s="525"/>
      <c r="GAP3" s="525"/>
      <c r="GAQ3" s="525"/>
      <c r="GAR3" s="525"/>
      <c r="GAS3" s="525"/>
      <c r="GAT3" s="525"/>
      <c r="GAU3" s="525"/>
      <c r="GAV3" s="525"/>
      <c r="GAW3" s="525"/>
      <c r="GAX3" s="525"/>
      <c r="GAY3" s="525"/>
      <c r="GAZ3" s="525"/>
      <c r="GBA3" s="525"/>
      <c r="GBB3" s="525"/>
      <c r="GBC3" s="525"/>
      <c r="GBD3" s="525"/>
      <c r="GBE3" s="525"/>
      <c r="GBF3" s="525"/>
      <c r="GBG3" s="525"/>
      <c r="GBH3" s="525"/>
      <c r="GBI3" s="525"/>
      <c r="GBJ3" s="525"/>
      <c r="GBK3" s="525"/>
      <c r="GBL3" s="525"/>
      <c r="GBM3" s="525"/>
      <c r="GBN3" s="525"/>
      <c r="GBO3" s="525"/>
      <c r="GBP3" s="525"/>
      <c r="GBQ3" s="525"/>
      <c r="GBR3" s="525"/>
      <c r="GBS3" s="525"/>
      <c r="GBT3" s="525"/>
      <c r="GBU3" s="525"/>
      <c r="GBV3" s="525"/>
      <c r="GBW3" s="525"/>
      <c r="GBX3" s="525"/>
      <c r="GBY3" s="525"/>
      <c r="GBZ3" s="525"/>
      <c r="GCA3" s="525"/>
      <c r="GCB3" s="525"/>
      <c r="GCC3" s="525"/>
      <c r="GCD3" s="525"/>
      <c r="GCE3" s="525"/>
      <c r="GCF3" s="525"/>
      <c r="GCG3" s="525"/>
      <c r="GCH3" s="525"/>
      <c r="GCI3" s="525"/>
      <c r="GCJ3" s="525"/>
      <c r="GCK3" s="525"/>
      <c r="GCL3" s="525"/>
      <c r="GCM3" s="525"/>
      <c r="GCN3" s="525"/>
      <c r="GCO3" s="525"/>
      <c r="GCP3" s="525"/>
      <c r="GCQ3" s="525"/>
      <c r="GCR3" s="525"/>
      <c r="GCS3" s="525"/>
      <c r="GCT3" s="525"/>
      <c r="GCU3" s="525"/>
      <c r="GCV3" s="525"/>
      <c r="GCW3" s="525"/>
      <c r="GCX3" s="525"/>
      <c r="GCY3" s="525"/>
      <c r="GCZ3" s="525"/>
      <c r="GDA3" s="525"/>
      <c r="GDB3" s="525"/>
      <c r="GDC3" s="525"/>
      <c r="GDD3" s="525"/>
      <c r="GDE3" s="525"/>
      <c r="GDF3" s="525"/>
      <c r="GDG3" s="525"/>
      <c r="GDH3" s="525"/>
      <c r="GDI3" s="525"/>
      <c r="GDJ3" s="525"/>
      <c r="GDK3" s="525"/>
      <c r="GDL3" s="525"/>
      <c r="GDM3" s="525"/>
      <c r="GDN3" s="525"/>
      <c r="GDO3" s="525"/>
      <c r="GDP3" s="525"/>
      <c r="GDQ3" s="525"/>
      <c r="GDR3" s="525"/>
      <c r="GDS3" s="525"/>
      <c r="GDT3" s="525"/>
      <c r="GDU3" s="525"/>
      <c r="GDV3" s="525"/>
      <c r="GDW3" s="525"/>
      <c r="GDX3" s="525"/>
      <c r="GDY3" s="525"/>
      <c r="GDZ3" s="525"/>
      <c r="GEA3" s="525"/>
      <c r="GEB3" s="525"/>
      <c r="GEC3" s="525"/>
      <c r="GED3" s="525"/>
      <c r="GEE3" s="525"/>
      <c r="GEF3" s="525"/>
      <c r="GEG3" s="525"/>
      <c r="GEH3" s="525"/>
      <c r="GEI3" s="525"/>
      <c r="GEJ3" s="525"/>
      <c r="GEK3" s="525"/>
      <c r="GEL3" s="525"/>
      <c r="GEM3" s="525"/>
      <c r="GEN3" s="525"/>
      <c r="GEO3" s="525"/>
      <c r="GEP3" s="525"/>
      <c r="GEQ3" s="525"/>
      <c r="GER3" s="525"/>
      <c r="GES3" s="525"/>
      <c r="GET3" s="525"/>
      <c r="GEU3" s="525"/>
      <c r="GEV3" s="525"/>
      <c r="GEW3" s="525"/>
      <c r="GEX3" s="525"/>
      <c r="GEY3" s="525"/>
      <c r="GEZ3" s="525"/>
      <c r="GFA3" s="525"/>
      <c r="GFB3" s="525"/>
      <c r="GFC3" s="525"/>
      <c r="GFD3" s="525"/>
      <c r="GFE3" s="525"/>
      <c r="GFF3" s="525"/>
      <c r="GFG3" s="525"/>
      <c r="GFH3" s="525"/>
      <c r="GFI3" s="525"/>
      <c r="GFJ3" s="525"/>
      <c r="GFK3" s="525"/>
      <c r="GFL3" s="525"/>
      <c r="GFM3" s="525"/>
      <c r="GFN3" s="525"/>
      <c r="GFO3" s="525"/>
      <c r="GFP3" s="525"/>
      <c r="GFQ3" s="525"/>
      <c r="GFR3" s="525"/>
      <c r="GFS3" s="525"/>
      <c r="GFT3" s="525"/>
      <c r="GFU3" s="525"/>
      <c r="GFV3" s="525"/>
      <c r="GFW3" s="525"/>
      <c r="GFX3" s="525"/>
      <c r="GFY3" s="525"/>
      <c r="GFZ3" s="525"/>
      <c r="GGA3" s="525"/>
      <c r="GGB3" s="525"/>
      <c r="GGC3" s="525"/>
      <c r="GGD3" s="525"/>
      <c r="GGE3" s="525"/>
      <c r="GGF3" s="525"/>
      <c r="GGG3" s="525"/>
      <c r="GGH3" s="525"/>
      <c r="GGI3" s="525"/>
      <c r="GGJ3" s="525"/>
      <c r="GGK3" s="525"/>
      <c r="GGL3" s="525"/>
      <c r="GGM3" s="525"/>
      <c r="GGN3" s="525"/>
      <c r="GGO3" s="525"/>
      <c r="GGP3" s="525"/>
      <c r="GGQ3" s="525"/>
      <c r="GGR3" s="525"/>
      <c r="GGS3" s="525"/>
      <c r="GGT3" s="525"/>
      <c r="GGU3" s="525"/>
      <c r="GGV3" s="525"/>
      <c r="GGW3" s="525"/>
      <c r="GGX3" s="525"/>
      <c r="GGY3" s="525"/>
      <c r="GGZ3" s="525"/>
      <c r="GHA3" s="525"/>
      <c r="GHB3" s="525"/>
      <c r="GHC3" s="525"/>
      <c r="GHD3" s="525"/>
      <c r="GHE3" s="525"/>
      <c r="GHF3" s="525"/>
      <c r="GHG3" s="525"/>
      <c r="GHH3" s="525"/>
      <c r="GHI3" s="525"/>
      <c r="GHJ3" s="525"/>
      <c r="GHK3" s="525"/>
      <c r="GHL3" s="525"/>
      <c r="GHM3" s="525"/>
      <c r="GHN3" s="525"/>
      <c r="GHO3" s="525"/>
      <c r="GHP3" s="525"/>
      <c r="GHQ3" s="525"/>
      <c r="GHR3" s="525"/>
      <c r="GHS3" s="525"/>
      <c r="GHT3" s="525"/>
      <c r="GHU3" s="525"/>
      <c r="GHV3" s="525"/>
      <c r="GHW3" s="525"/>
      <c r="GHX3" s="525"/>
      <c r="GHY3" s="525"/>
      <c r="GHZ3" s="525"/>
      <c r="GIA3" s="525"/>
      <c r="GIB3" s="525"/>
      <c r="GIC3" s="525"/>
      <c r="GID3" s="525"/>
      <c r="GIE3" s="525"/>
      <c r="GIF3" s="525"/>
      <c r="GIG3" s="525"/>
      <c r="GIH3" s="525"/>
      <c r="GII3" s="525"/>
      <c r="GIJ3" s="525"/>
      <c r="GIK3" s="525"/>
      <c r="GIL3" s="525"/>
      <c r="GIM3" s="525"/>
      <c r="GIN3" s="525"/>
      <c r="GIO3" s="525"/>
      <c r="GIP3" s="525"/>
      <c r="GIQ3" s="525"/>
      <c r="GIR3" s="525"/>
      <c r="GIS3" s="525"/>
      <c r="GIT3" s="525"/>
      <c r="GIU3" s="525"/>
      <c r="GIV3" s="525"/>
      <c r="GIW3" s="525"/>
      <c r="GIX3" s="525"/>
      <c r="GIY3" s="525"/>
      <c r="GIZ3" s="525"/>
      <c r="GJA3" s="525"/>
      <c r="GJB3" s="525"/>
      <c r="GJC3" s="525"/>
      <c r="GJD3" s="525"/>
      <c r="GJE3" s="525"/>
      <c r="GJF3" s="525"/>
      <c r="GJG3" s="525"/>
      <c r="GJH3" s="525"/>
      <c r="GJI3" s="525"/>
      <c r="GJJ3" s="525"/>
      <c r="GJK3" s="525"/>
      <c r="GJL3" s="525"/>
      <c r="GJM3" s="525"/>
      <c r="GJN3" s="525"/>
      <c r="GJO3" s="525"/>
      <c r="GJP3" s="525"/>
      <c r="GJQ3" s="525"/>
      <c r="GJR3" s="525"/>
      <c r="GJS3" s="525"/>
      <c r="GJT3" s="525"/>
      <c r="GJU3" s="525"/>
      <c r="GJV3" s="525"/>
      <c r="GJW3" s="525"/>
      <c r="GJX3" s="525"/>
      <c r="GJY3" s="525"/>
      <c r="GJZ3" s="525"/>
      <c r="GKA3" s="525"/>
      <c r="GKB3" s="525"/>
      <c r="GKC3" s="525"/>
      <c r="GKD3" s="525"/>
      <c r="GKE3" s="525"/>
      <c r="GKF3" s="525"/>
      <c r="GKG3" s="525"/>
      <c r="GKH3" s="525"/>
      <c r="GKI3" s="525"/>
      <c r="GKJ3" s="525"/>
      <c r="GKK3" s="525"/>
      <c r="GKL3" s="525"/>
      <c r="GKM3" s="525"/>
      <c r="GKN3" s="525"/>
      <c r="GKO3" s="525"/>
      <c r="GKP3" s="525"/>
      <c r="GKQ3" s="525"/>
      <c r="GKR3" s="525"/>
      <c r="GKS3" s="525"/>
      <c r="GKT3" s="525"/>
      <c r="GKU3" s="525"/>
      <c r="GKV3" s="525"/>
      <c r="GKW3" s="525"/>
      <c r="GKX3" s="525"/>
      <c r="GKY3" s="525"/>
      <c r="GKZ3" s="525"/>
      <c r="GLA3" s="525"/>
      <c r="GLB3" s="525"/>
      <c r="GLC3" s="525"/>
      <c r="GLD3" s="525"/>
      <c r="GLE3" s="525"/>
      <c r="GLF3" s="525"/>
      <c r="GLG3" s="525"/>
      <c r="GLH3" s="525"/>
      <c r="GLI3" s="525"/>
      <c r="GLJ3" s="525"/>
      <c r="GLK3" s="525"/>
      <c r="GLL3" s="525"/>
      <c r="GLM3" s="525"/>
      <c r="GLN3" s="525"/>
      <c r="GLO3" s="525"/>
      <c r="GLP3" s="525"/>
      <c r="GLQ3" s="525"/>
      <c r="GLR3" s="525"/>
      <c r="GLS3" s="525"/>
      <c r="GLT3" s="525"/>
      <c r="GLU3" s="525"/>
      <c r="GLV3" s="525"/>
      <c r="GLW3" s="525"/>
      <c r="GLX3" s="525"/>
      <c r="GLY3" s="525"/>
      <c r="GLZ3" s="525"/>
      <c r="GMA3" s="525"/>
      <c r="GMB3" s="525"/>
      <c r="GMC3" s="525"/>
      <c r="GMD3" s="525"/>
      <c r="GME3" s="525"/>
      <c r="GMF3" s="525"/>
      <c r="GMG3" s="525"/>
      <c r="GMH3" s="525"/>
      <c r="GMI3" s="525"/>
      <c r="GMJ3" s="525"/>
      <c r="GMK3" s="525"/>
      <c r="GML3" s="525"/>
      <c r="GMM3" s="525"/>
      <c r="GMN3" s="525"/>
      <c r="GMO3" s="525"/>
      <c r="GMP3" s="525"/>
      <c r="GMQ3" s="525"/>
      <c r="GMR3" s="525"/>
      <c r="GMS3" s="525"/>
      <c r="GMT3" s="525"/>
      <c r="GMU3" s="525"/>
      <c r="GMV3" s="525"/>
      <c r="GMW3" s="525"/>
      <c r="GMX3" s="525"/>
      <c r="GMY3" s="525"/>
      <c r="GMZ3" s="525"/>
      <c r="GNA3" s="525"/>
      <c r="GNB3" s="525"/>
      <c r="GNC3" s="525"/>
      <c r="GND3" s="525"/>
      <c r="GNE3" s="525"/>
      <c r="GNF3" s="525"/>
      <c r="GNG3" s="525"/>
      <c r="GNH3" s="525"/>
      <c r="GNI3" s="525"/>
      <c r="GNJ3" s="525"/>
      <c r="GNK3" s="525"/>
      <c r="GNL3" s="525"/>
      <c r="GNM3" s="525"/>
      <c r="GNN3" s="525"/>
      <c r="GNO3" s="525"/>
      <c r="GNP3" s="525"/>
      <c r="GNQ3" s="525"/>
      <c r="GNR3" s="525"/>
      <c r="GNS3" s="525"/>
      <c r="GNT3" s="525"/>
      <c r="GNU3" s="525"/>
      <c r="GNV3" s="525"/>
      <c r="GNW3" s="525"/>
      <c r="GNX3" s="525"/>
      <c r="GNY3" s="525"/>
      <c r="GNZ3" s="525"/>
      <c r="GOA3" s="525"/>
      <c r="GOB3" s="525"/>
      <c r="GOC3" s="525"/>
      <c r="GOD3" s="525"/>
      <c r="GOE3" s="525"/>
      <c r="GOF3" s="525"/>
      <c r="GOG3" s="525"/>
      <c r="GOH3" s="525"/>
      <c r="GOI3" s="525"/>
      <c r="GOJ3" s="525"/>
      <c r="GOK3" s="525"/>
      <c r="GOL3" s="525"/>
      <c r="GOM3" s="525"/>
      <c r="GON3" s="525"/>
      <c r="GOO3" s="525"/>
      <c r="GOP3" s="525"/>
      <c r="GOQ3" s="525"/>
      <c r="GOR3" s="525"/>
      <c r="GOS3" s="525"/>
      <c r="GOT3" s="525"/>
      <c r="GOU3" s="525"/>
      <c r="GOV3" s="525"/>
      <c r="GOW3" s="525"/>
      <c r="GOX3" s="525"/>
      <c r="GOY3" s="525"/>
      <c r="GOZ3" s="525"/>
      <c r="GPA3" s="525"/>
      <c r="GPB3" s="525"/>
      <c r="GPC3" s="525"/>
      <c r="GPD3" s="525"/>
      <c r="GPE3" s="525"/>
      <c r="GPF3" s="525"/>
      <c r="GPG3" s="525"/>
      <c r="GPH3" s="525"/>
      <c r="GPI3" s="525"/>
      <c r="GPJ3" s="525"/>
      <c r="GPK3" s="525"/>
      <c r="GPL3" s="525"/>
      <c r="GPM3" s="525"/>
      <c r="GPN3" s="525"/>
      <c r="GPO3" s="525"/>
      <c r="GPP3" s="525"/>
      <c r="GPQ3" s="525"/>
      <c r="GPR3" s="525"/>
      <c r="GPS3" s="525"/>
      <c r="GPT3" s="525"/>
      <c r="GPU3" s="525"/>
      <c r="GPV3" s="525"/>
      <c r="GPW3" s="525"/>
      <c r="GPX3" s="525"/>
      <c r="GPY3" s="525"/>
      <c r="GPZ3" s="525"/>
      <c r="GQA3" s="525"/>
      <c r="GQB3" s="525"/>
      <c r="GQC3" s="525"/>
      <c r="GQD3" s="525"/>
      <c r="GQE3" s="525"/>
      <c r="GQF3" s="525"/>
      <c r="GQG3" s="525"/>
      <c r="GQH3" s="525"/>
      <c r="GQI3" s="525"/>
      <c r="GQJ3" s="525"/>
      <c r="GQK3" s="525"/>
      <c r="GQL3" s="525"/>
      <c r="GQM3" s="525"/>
      <c r="GQN3" s="525"/>
      <c r="GQO3" s="525"/>
      <c r="GQP3" s="525"/>
      <c r="GQQ3" s="525"/>
      <c r="GQR3" s="525"/>
      <c r="GQS3" s="525"/>
      <c r="GQT3" s="525"/>
      <c r="GQU3" s="525"/>
      <c r="GQV3" s="525"/>
      <c r="GQW3" s="525"/>
      <c r="GQX3" s="525"/>
      <c r="GQY3" s="525"/>
      <c r="GQZ3" s="525"/>
      <c r="GRA3" s="525"/>
      <c r="GRB3" s="525"/>
      <c r="GRC3" s="525"/>
      <c r="GRD3" s="525"/>
      <c r="GRE3" s="525"/>
      <c r="GRF3" s="525"/>
      <c r="GRG3" s="525"/>
      <c r="GRH3" s="525"/>
      <c r="GRI3" s="525"/>
      <c r="GRJ3" s="525"/>
      <c r="GRK3" s="525"/>
      <c r="GRL3" s="525"/>
      <c r="GRM3" s="525"/>
      <c r="GRN3" s="525"/>
      <c r="GRO3" s="525"/>
      <c r="GRP3" s="525"/>
      <c r="GRQ3" s="525"/>
      <c r="GRR3" s="525"/>
      <c r="GRS3" s="525"/>
      <c r="GRT3" s="525"/>
      <c r="GRU3" s="525"/>
      <c r="GRV3" s="525"/>
      <c r="GRW3" s="525"/>
      <c r="GRX3" s="525"/>
      <c r="GRY3" s="525"/>
      <c r="GRZ3" s="525"/>
      <c r="GSA3" s="525"/>
      <c r="GSB3" s="525"/>
      <c r="GSC3" s="525"/>
      <c r="GSD3" s="525"/>
      <c r="GSE3" s="525"/>
      <c r="GSF3" s="525"/>
      <c r="GSG3" s="525"/>
      <c r="GSH3" s="525"/>
      <c r="GSI3" s="525"/>
      <c r="GSJ3" s="525"/>
      <c r="GSK3" s="525"/>
      <c r="GSL3" s="525"/>
      <c r="GSM3" s="525"/>
      <c r="GSN3" s="525"/>
      <c r="GSO3" s="525"/>
      <c r="GSP3" s="525"/>
      <c r="GSQ3" s="525"/>
      <c r="GSR3" s="525"/>
      <c r="GSS3" s="525"/>
      <c r="GST3" s="525"/>
      <c r="GSU3" s="525"/>
      <c r="GSV3" s="525"/>
      <c r="GSW3" s="525"/>
      <c r="GSX3" s="525"/>
      <c r="GSY3" s="525"/>
      <c r="GSZ3" s="525"/>
      <c r="GTA3" s="525"/>
      <c r="GTB3" s="525"/>
      <c r="GTC3" s="525"/>
      <c r="GTD3" s="525"/>
      <c r="GTE3" s="525"/>
      <c r="GTF3" s="525"/>
      <c r="GTG3" s="525"/>
      <c r="GTH3" s="525"/>
      <c r="GTI3" s="525"/>
      <c r="GTJ3" s="525"/>
      <c r="GTK3" s="525"/>
      <c r="GTL3" s="525"/>
      <c r="GTM3" s="525"/>
      <c r="GTN3" s="525"/>
      <c r="GTO3" s="525"/>
      <c r="GTP3" s="525"/>
      <c r="GTQ3" s="525"/>
      <c r="GTR3" s="525"/>
      <c r="GTS3" s="525"/>
      <c r="GTT3" s="525"/>
      <c r="GTU3" s="525"/>
      <c r="GTV3" s="525"/>
      <c r="GTW3" s="525"/>
      <c r="GTX3" s="525"/>
      <c r="GTY3" s="525"/>
      <c r="GTZ3" s="525"/>
      <c r="GUA3" s="525"/>
      <c r="GUB3" s="525"/>
      <c r="GUC3" s="525"/>
      <c r="GUD3" s="525"/>
      <c r="GUE3" s="525"/>
      <c r="GUF3" s="525"/>
      <c r="GUG3" s="525"/>
      <c r="GUH3" s="525"/>
      <c r="GUI3" s="525"/>
      <c r="GUJ3" s="525"/>
      <c r="GUK3" s="525"/>
      <c r="GUL3" s="525"/>
      <c r="GUM3" s="525"/>
      <c r="GUN3" s="525"/>
      <c r="GUO3" s="525"/>
      <c r="GUP3" s="525"/>
      <c r="GUQ3" s="525"/>
      <c r="GUR3" s="525"/>
      <c r="GUS3" s="525"/>
      <c r="GUT3" s="525"/>
      <c r="GUU3" s="525"/>
      <c r="GUV3" s="525"/>
      <c r="GUW3" s="525"/>
      <c r="GUX3" s="525"/>
      <c r="GUY3" s="525"/>
      <c r="GUZ3" s="525"/>
      <c r="GVA3" s="525"/>
      <c r="GVB3" s="525"/>
      <c r="GVC3" s="525"/>
      <c r="GVD3" s="525"/>
      <c r="GVE3" s="525"/>
      <c r="GVF3" s="525"/>
      <c r="GVG3" s="525"/>
      <c r="GVH3" s="525"/>
      <c r="GVI3" s="525"/>
      <c r="GVJ3" s="525"/>
      <c r="GVK3" s="525"/>
      <c r="GVL3" s="525"/>
      <c r="GVM3" s="525"/>
      <c r="GVN3" s="525"/>
      <c r="GVO3" s="525"/>
      <c r="GVP3" s="525"/>
      <c r="GVQ3" s="525"/>
      <c r="GVR3" s="525"/>
      <c r="GVS3" s="525"/>
      <c r="GVT3" s="525"/>
      <c r="GVU3" s="525"/>
      <c r="GVV3" s="525"/>
      <c r="GVW3" s="525"/>
      <c r="GVX3" s="525"/>
      <c r="GVY3" s="525"/>
      <c r="GVZ3" s="525"/>
      <c r="GWA3" s="525"/>
      <c r="GWB3" s="525"/>
      <c r="GWC3" s="525"/>
      <c r="GWD3" s="525"/>
      <c r="GWE3" s="525"/>
      <c r="GWF3" s="525"/>
      <c r="GWG3" s="525"/>
      <c r="GWH3" s="525"/>
      <c r="GWI3" s="525"/>
      <c r="GWJ3" s="525"/>
      <c r="GWK3" s="525"/>
      <c r="GWL3" s="525"/>
      <c r="GWM3" s="525"/>
      <c r="GWN3" s="525"/>
      <c r="GWO3" s="525"/>
      <c r="GWP3" s="525"/>
      <c r="GWQ3" s="525"/>
      <c r="GWR3" s="525"/>
      <c r="GWS3" s="525"/>
      <c r="GWT3" s="525"/>
      <c r="GWU3" s="525"/>
      <c r="GWV3" s="525"/>
      <c r="GWW3" s="525"/>
      <c r="GWX3" s="525"/>
      <c r="GWY3" s="525"/>
      <c r="GWZ3" s="525"/>
      <c r="GXA3" s="525"/>
      <c r="GXB3" s="525"/>
      <c r="GXC3" s="525"/>
      <c r="GXD3" s="525"/>
      <c r="GXE3" s="525"/>
      <c r="GXF3" s="525"/>
      <c r="GXG3" s="525"/>
      <c r="GXH3" s="525"/>
      <c r="GXI3" s="525"/>
      <c r="GXJ3" s="525"/>
      <c r="GXK3" s="525"/>
      <c r="GXL3" s="525"/>
      <c r="GXM3" s="525"/>
      <c r="GXN3" s="525"/>
      <c r="GXO3" s="525"/>
      <c r="GXP3" s="525"/>
      <c r="GXQ3" s="525"/>
      <c r="GXR3" s="525"/>
      <c r="GXS3" s="525"/>
      <c r="GXT3" s="525"/>
      <c r="GXU3" s="525"/>
      <c r="GXV3" s="525"/>
      <c r="GXW3" s="525"/>
      <c r="GXX3" s="525"/>
      <c r="GXY3" s="525"/>
      <c r="GXZ3" s="525"/>
      <c r="GYA3" s="525"/>
      <c r="GYB3" s="525"/>
      <c r="GYC3" s="525"/>
      <c r="GYD3" s="525"/>
      <c r="GYE3" s="525"/>
      <c r="GYF3" s="525"/>
      <c r="GYG3" s="525"/>
      <c r="GYH3" s="525"/>
      <c r="GYI3" s="525"/>
      <c r="GYJ3" s="525"/>
      <c r="GYK3" s="525"/>
      <c r="GYL3" s="525"/>
      <c r="GYM3" s="525"/>
      <c r="GYN3" s="525"/>
      <c r="GYO3" s="525"/>
      <c r="GYP3" s="525"/>
      <c r="GYQ3" s="525"/>
      <c r="GYR3" s="525"/>
      <c r="GYS3" s="525"/>
      <c r="GYT3" s="525"/>
      <c r="GYU3" s="525"/>
      <c r="GYV3" s="525"/>
      <c r="GYW3" s="525"/>
      <c r="GYX3" s="525"/>
      <c r="GYY3" s="525"/>
      <c r="GYZ3" s="525"/>
      <c r="GZA3" s="525"/>
      <c r="GZB3" s="525"/>
      <c r="GZC3" s="525"/>
      <c r="GZD3" s="525"/>
      <c r="GZE3" s="525"/>
      <c r="GZF3" s="525"/>
      <c r="GZG3" s="525"/>
      <c r="GZH3" s="525"/>
      <c r="GZI3" s="525"/>
      <c r="GZJ3" s="525"/>
      <c r="GZK3" s="525"/>
      <c r="GZL3" s="525"/>
      <c r="GZM3" s="525"/>
      <c r="GZN3" s="525"/>
      <c r="GZO3" s="525"/>
      <c r="GZP3" s="525"/>
      <c r="GZQ3" s="525"/>
      <c r="GZR3" s="525"/>
      <c r="GZS3" s="525"/>
      <c r="GZT3" s="525"/>
      <c r="GZU3" s="525"/>
      <c r="GZV3" s="525"/>
      <c r="GZW3" s="525"/>
      <c r="GZX3" s="525"/>
      <c r="GZY3" s="525"/>
      <c r="GZZ3" s="525"/>
      <c r="HAA3" s="525"/>
      <c r="HAB3" s="525"/>
      <c r="HAC3" s="525"/>
      <c r="HAD3" s="525"/>
      <c r="HAE3" s="525"/>
      <c r="HAF3" s="525"/>
      <c r="HAG3" s="525"/>
      <c r="HAH3" s="525"/>
      <c r="HAI3" s="525"/>
      <c r="HAJ3" s="525"/>
      <c r="HAK3" s="525"/>
      <c r="HAL3" s="525"/>
      <c r="HAM3" s="525"/>
      <c r="HAN3" s="525"/>
      <c r="HAO3" s="525"/>
      <c r="HAP3" s="525"/>
      <c r="HAQ3" s="525"/>
      <c r="HAR3" s="525"/>
      <c r="HAS3" s="525"/>
      <c r="HAT3" s="525"/>
      <c r="HAU3" s="525"/>
      <c r="HAV3" s="525"/>
      <c r="HAW3" s="525"/>
      <c r="HAX3" s="525"/>
      <c r="HAY3" s="525"/>
      <c r="HAZ3" s="525"/>
      <c r="HBA3" s="525"/>
      <c r="HBB3" s="525"/>
      <c r="HBC3" s="525"/>
      <c r="HBD3" s="525"/>
      <c r="HBE3" s="525"/>
      <c r="HBF3" s="525"/>
      <c r="HBG3" s="525"/>
      <c r="HBH3" s="525"/>
      <c r="HBI3" s="525"/>
      <c r="HBJ3" s="525"/>
      <c r="HBK3" s="525"/>
      <c r="HBL3" s="525"/>
      <c r="HBM3" s="525"/>
      <c r="HBN3" s="525"/>
      <c r="HBO3" s="525"/>
      <c r="HBP3" s="525"/>
      <c r="HBQ3" s="525"/>
      <c r="HBR3" s="525"/>
      <c r="HBS3" s="525"/>
      <c r="HBT3" s="525"/>
      <c r="HBU3" s="525"/>
      <c r="HBV3" s="525"/>
      <c r="HBW3" s="525"/>
      <c r="HBX3" s="525"/>
      <c r="HBY3" s="525"/>
      <c r="HBZ3" s="525"/>
      <c r="HCA3" s="525"/>
      <c r="HCB3" s="525"/>
      <c r="HCC3" s="525"/>
      <c r="HCD3" s="525"/>
      <c r="HCE3" s="525"/>
      <c r="HCF3" s="525"/>
      <c r="HCG3" s="525"/>
      <c r="HCH3" s="525"/>
      <c r="HCI3" s="525"/>
      <c r="HCJ3" s="525"/>
      <c r="HCK3" s="525"/>
      <c r="HCL3" s="525"/>
      <c r="HCM3" s="525"/>
      <c r="HCN3" s="525"/>
      <c r="HCO3" s="525"/>
      <c r="HCP3" s="525"/>
      <c r="HCQ3" s="525"/>
      <c r="HCR3" s="525"/>
      <c r="HCS3" s="525"/>
      <c r="HCT3" s="525"/>
      <c r="HCU3" s="525"/>
      <c r="HCV3" s="525"/>
      <c r="HCW3" s="525"/>
      <c r="HCX3" s="525"/>
      <c r="HCY3" s="525"/>
      <c r="HCZ3" s="525"/>
      <c r="HDA3" s="525"/>
      <c r="HDB3" s="525"/>
      <c r="HDC3" s="525"/>
      <c r="HDD3" s="525"/>
      <c r="HDE3" s="525"/>
      <c r="HDF3" s="525"/>
      <c r="HDG3" s="525"/>
      <c r="HDH3" s="525"/>
      <c r="HDI3" s="525"/>
      <c r="HDJ3" s="525"/>
      <c r="HDK3" s="525"/>
      <c r="HDL3" s="525"/>
      <c r="HDM3" s="525"/>
      <c r="HDN3" s="525"/>
      <c r="HDO3" s="525"/>
      <c r="HDP3" s="525"/>
      <c r="HDQ3" s="525"/>
      <c r="HDR3" s="525"/>
      <c r="HDS3" s="525"/>
      <c r="HDT3" s="525"/>
      <c r="HDU3" s="525"/>
      <c r="HDV3" s="525"/>
      <c r="HDW3" s="525"/>
      <c r="HDX3" s="525"/>
      <c r="HDY3" s="525"/>
      <c r="HDZ3" s="525"/>
      <c r="HEA3" s="525"/>
      <c r="HEB3" s="525"/>
      <c r="HEC3" s="525"/>
      <c r="HED3" s="525"/>
      <c r="HEE3" s="525"/>
      <c r="HEF3" s="525"/>
      <c r="HEG3" s="525"/>
      <c r="HEH3" s="525"/>
      <c r="HEI3" s="525"/>
      <c r="HEJ3" s="525"/>
      <c r="HEK3" s="525"/>
      <c r="HEL3" s="525"/>
      <c r="HEM3" s="525"/>
      <c r="HEN3" s="525"/>
      <c r="HEO3" s="525"/>
      <c r="HEP3" s="525"/>
      <c r="HEQ3" s="525"/>
      <c r="HER3" s="525"/>
      <c r="HES3" s="525"/>
      <c r="HET3" s="525"/>
      <c r="HEU3" s="525"/>
      <c r="HEV3" s="525"/>
      <c r="HEW3" s="525"/>
      <c r="HEX3" s="525"/>
      <c r="HEY3" s="525"/>
      <c r="HEZ3" s="525"/>
      <c r="HFA3" s="525"/>
      <c r="HFB3" s="525"/>
      <c r="HFC3" s="525"/>
      <c r="HFD3" s="525"/>
      <c r="HFE3" s="525"/>
      <c r="HFF3" s="525"/>
      <c r="HFG3" s="525"/>
      <c r="HFH3" s="525"/>
      <c r="HFI3" s="525"/>
      <c r="HFJ3" s="525"/>
      <c r="HFK3" s="525"/>
      <c r="HFL3" s="525"/>
      <c r="HFM3" s="525"/>
      <c r="HFN3" s="525"/>
      <c r="HFO3" s="525"/>
      <c r="HFP3" s="525"/>
      <c r="HFQ3" s="525"/>
      <c r="HFR3" s="525"/>
      <c r="HFS3" s="525"/>
      <c r="HFT3" s="525"/>
      <c r="HFU3" s="525"/>
      <c r="HFV3" s="525"/>
      <c r="HFW3" s="525"/>
      <c r="HFX3" s="525"/>
      <c r="HFY3" s="525"/>
      <c r="HFZ3" s="525"/>
      <c r="HGA3" s="525"/>
      <c r="HGB3" s="525"/>
      <c r="HGC3" s="525"/>
      <c r="HGD3" s="525"/>
      <c r="HGE3" s="525"/>
      <c r="HGF3" s="525"/>
      <c r="HGG3" s="525"/>
      <c r="HGH3" s="525"/>
      <c r="HGI3" s="525"/>
      <c r="HGJ3" s="525"/>
      <c r="HGK3" s="525"/>
      <c r="HGL3" s="525"/>
      <c r="HGM3" s="525"/>
      <c r="HGN3" s="525"/>
      <c r="HGO3" s="525"/>
      <c r="HGP3" s="525"/>
      <c r="HGQ3" s="525"/>
      <c r="HGR3" s="525"/>
      <c r="HGS3" s="525"/>
      <c r="HGT3" s="525"/>
      <c r="HGU3" s="525"/>
      <c r="HGV3" s="525"/>
      <c r="HGW3" s="525"/>
      <c r="HGX3" s="525"/>
      <c r="HGY3" s="525"/>
      <c r="HGZ3" s="525"/>
      <c r="HHA3" s="525"/>
      <c r="HHB3" s="525"/>
      <c r="HHC3" s="525"/>
      <c r="HHD3" s="525"/>
      <c r="HHE3" s="525"/>
      <c r="HHF3" s="525"/>
      <c r="HHG3" s="525"/>
      <c r="HHH3" s="525"/>
      <c r="HHI3" s="525"/>
      <c r="HHJ3" s="525"/>
      <c r="HHK3" s="525"/>
      <c r="HHL3" s="525"/>
      <c r="HHM3" s="525"/>
      <c r="HHN3" s="525"/>
      <c r="HHO3" s="525"/>
      <c r="HHP3" s="525"/>
      <c r="HHQ3" s="525"/>
      <c r="HHR3" s="525"/>
      <c r="HHS3" s="525"/>
      <c r="HHT3" s="525"/>
      <c r="HHU3" s="525"/>
      <c r="HHV3" s="525"/>
      <c r="HHW3" s="525"/>
      <c r="HHX3" s="525"/>
      <c r="HHY3" s="525"/>
      <c r="HHZ3" s="525"/>
      <c r="HIA3" s="525"/>
      <c r="HIB3" s="525"/>
      <c r="HIC3" s="525"/>
      <c r="HID3" s="525"/>
      <c r="HIE3" s="525"/>
      <c r="HIF3" s="525"/>
      <c r="HIG3" s="525"/>
      <c r="HIH3" s="525"/>
      <c r="HII3" s="525"/>
      <c r="HIJ3" s="525"/>
      <c r="HIK3" s="525"/>
      <c r="HIL3" s="525"/>
      <c r="HIM3" s="525"/>
      <c r="HIN3" s="525"/>
      <c r="HIO3" s="525"/>
      <c r="HIP3" s="525"/>
      <c r="HIQ3" s="525"/>
      <c r="HIR3" s="525"/>
      <c r="HIS3" s="525"/>
      <c r="HIT3" s="525"/>
      <c r="HIU3" s="525"/>
      <c r="HIV3" s="525"/>
      <c r="HIW3" s="525"/>
      <c r="HIX3" s="525"/>
      <c r="HIY3" s="525"/>
      <c r="HIZ3" s="525"/>
      <c r="HJA3" s="525"/>
      <c r="HJB3" s="525"/>
      <c r="HJC3" s="525"/>
      <c r="HJD3" s="525"/>
      <c r="HJE3" s="525"/>
      <c r="HJF3" s="525"/>
      <c r="HJG3" s="525"/>
      <c r="HJH3" s="525"/>
      <c r="HJI3" s="525"/>
      <c r="HJJ3" s="525"/>
      <c r="HJK3" s="525"/>
      <c r="HJL3" s="525"/>
      <c r="HJM3" s="525"/>
      <c r="HJN3" s="525"/>
      <c r="HJO3" s="525"/>
      <c r="HJP3" s="525"/>
      <c r="HJQ3" s="525"/>
      <c r="HJR3" s="525"/>
      <c r="HJS3" s="525"/>
      <c r="HJT3" s="525"/>
      <c r="HJU3" s="525"/>
      <c r="HJV3" s="525"/>
      <c r="HJW3" s="525"/>
      <c r="HJX3" s="525"/>
      <c r="HJY3" s="525"/>
      <c r="HJZ3" s="525"/>
      <c r="HKA3" s="525"/>
      <c r="HKB3" s="525"/>
      <c r="HKC3" s="525"/>
      <c r="HKD3" s="525"/>
      <c r="HKE3" s="525"/>
      <c r="HKF3" s="525"/>
      <c r="HKG3" s="525"/>
      <c r="HKH3" s="525"/>
      <c r="HKI3" s="525"/>
      <c r="HKJ3" s="525"/>
      <c r="HKK3" s="525"/>
      <c r="HKL3" s="525"/>
      <c r="HKM3" s="525"/>
      <c r="HKN3" s="525"/>
      <c r="HKO3" s="525"/>
      <c r="HKP3" s="525"/>
      <c r="HKQ3" s="525"/>
      <c r="HKR3" s="525"/>
      <c r="HKS3" s="525"/>
      <c r="HKT3" s="525"/>
      <c r="HKU3" s="525"/>
      <c r="HKV3" s="525"/>
      <c r="HKW3" s="525"/>
      <c r="HKX3" s="525"/>
      <c r="HKY3" s="525"/>
      <c r="HKZ3" s="525"/>
      <c r="HLA3" s="525"/>
      <c r="HLB3" s="525"/>
      <c r="HLC3" s="525"/>
      <c r="HLD3" s="525"/>
      <c r="HLE3" s="525"/>
      <c r="HLF3" s="525"/>
      <c r="HLG3" s="525"/>
      <c r="HLH3" s="525"/>
      <c r="HLI3" s="525"/>
      <c r="HLJ3" s="525"/>
      <c r="HLK3" s="525"/>
      <c r="HLL3" s="525"/>
      <c r="HLM3" s="525"/>
      <c r="HLN3" s="525"/>
      <c r="HLO3" s="525"/>
      <c r="HLP3" s="525"/>
      <c r="HLQ3" s="525"/>
      <c r="HLR3" s="525"/>
      <c r="HLS3" s="525"/>
      <c r="HLT3" s="525"/>
      <c r="HLU3" s="525"/>
      <c r="HLV3" s="525"/>
      <c r="HLW3" s="525"/>
      <c r="HLX3" s="525"/>
      <c r="HLY3" s="525"/>
      <c r="HLZ3" s="525"/>
      <c r="HMA3" s="525"/>
      <c r="HMB3" s="525"/>
      <c r="HMC3" s="525"/>
      <c r="HMD3" s="525"/>
      <c r="HME3" s="525"/>
      <c r="HMF3" s="525"/>
      <c r="HMG3" s="525"/>
      <c r="HMH3" s="525"/>
      <c r="HMI3" s="525"/>
      <c r="HMJ3" s="525"/>
      <c r="HMK3" s="525"/>
      <c r="HML3" s="525"/>
      <c r="HMM3" s="525"/>
      <c r="HMN3" s="525"/>
      <c r="HMO3" s="525"/>
      <c r="HMP3" s="525"/>
      <c r="HMQ3" s="525"/>
      <c r="HMR3" s="525"/>
      <c r="HMS3" s="525"/>
      <c r="HMT3" s="525"/>
      <c r="HMU3" s="525"/>
      <c r="HMV3" s="525"/>
      <c r="HMW3" s="525"/>
      <c r="HMX3" s="525"/>
      <c r="HMY3" s="525"/>
      <c r="HMZ3" s="525"/>
      <c r="HNA3" s="525"/>
      <c r="HNB3" s="525"/>
      <c r="HNC3" s="525"/>
      <c r="HND3" s="525"/>
      <c r="HNE3" s="525"/>
      <c r="HNF3" s="525"/>
      <c r="HNG3" s="525"/>
      <c r="HNH3" s="525"/>
      <c r="HNI3" s="525"/>
      <c r="HNJ3" s="525"/>
      <c r="HNK3" s="525"/>
      <c r="HNL3" s="525"/>
      <c r="HNM3" s="525"/>
      <c r="HNN3" s="525"/>
      <c r="HNO3" s="525"/>
      <c r="HNP3" s="525"/>
      <c r="HNQ3" s="525"/>
      <c r="HNR3" s="525"/>
      <c r="HNS3" s="525"/>
      <c r="HNT3" s="525"/>
      <c r="HNU3" s="525"/>
      <c r="HNV3" s="525"/>
      <c r="HNW3" s="525"/>
      <c r="HNX3" s="525"/>
      <c r="HNY3" s="525"/>
      <c r="HNZ3" s="525"/>
      <c r="HOA3" s="525"/>
      <c r="HOB3" s="525"/>
      <c r="HOC3" s="525"/>
      <c r="HOD3" s="525"/>
      <c r="HOE3" s="525"/>
      <c r="HOF3" s="525"/>
      <c r="HOG3" s="525"/>
      <c r="HOH3" s="525"/>
      <c r="HOI3" s="525"/>
      <c r="HOJ3" s="525"/>
      <c r="HOK3" s="525"/>
      <c r="HOL3" s="525"/>
      <c r="HOM3" s="525"/>
      <c r="HON3" s="525"/>
      <c r="HOO3" s="525"/>
      <c r="HOP3" s="525"/>
      <c r="HOQ3" s="525"/>
      <c r="HOR3" s="525"/>
      <c r="HOS3" s="525"/>
      <c r="HOT3" s="525"/>
      <c r="HOU3" s="525"/>
      <c r="HOV3" s="525"/>
      <c r="HOW3" s="525"/>
      <c r="HOX3" s="525"/>
      <c r="HOY3" s="525"/>
      <c r="HOZ3" s="525"/>
      <c r="HPA3" s="525"/>
      <c r="HPB3" s="525"/>
      <c r="HPC3" s="525"/>
      <c r="HPD3" s="525"/>
      <c r="HPE3" s="525"/>
      <c r="HPF3" s="525"/>
      <c r="HPG3" s="525"/>
      <c r="HPH3" s="525"/>
      <c r="HPI3" s="525"/>
      <c r="HPJ3" s="525"/>
      <c r="HPK3" s="525"/>
      <c r="HPL3" s="525"/>
      <c r="HPM3" s="525"/>
      <c r="HPN3" s="525"/>
      <c r="HPO3" s="525"/>
      <c r="HPP3" s="525"/>
      <c r="HPQ3" s="525"/>
      <c r="HPR3" s="525"/>
      <c r="HPS3" s="525"/>
      <c r="HPT3" s="525"/>
      <c r="HPU3" s="525"/>
      <c r="HPV3" s="525"/>
      <c r="HPW3" s="525"/>
      <c r="HPX3" s="525"/>
      <c r="HPY3" s="525"/>
      <c r="HPZ3" s="525"/>
      <c r="HQA3" s="525"/>
      <c r="HQB3" s="525"/>
      <c r="HQC3" s="525"/>
      <c r="HQD3" s="525"/>
      <c r="HQE3" s="525"/>
      <c r="HQF3" s="525"/>
      <c r="HQG3" s="525"/>
      <c r="HQH3" s="525"/>
      <c r="HQI3" s="525"/>
      <c r="HQJ3" s="525"/>
      <c r="HQK3" s="525"/>
      <c r="HQL3" s="525"/>
      <c r="HQM3" s="525"/>
      <c r="HQN3" s="525"/>
      <c r="HQO3" s="525"/>
      <c r="HQP3" s="525"/>
      <c r="HQQ3" s="525"/>
      <c r="HQR3" s="525"/>
      <c r="HQS3" s="525"/>
      <c r="HQT3" s="525"/>
      <c r="HQU3" s="525"/>
      <c r="HQV3" s="525"/>
      <c r="HQW3" s="525"/>
      <c r="HQX3" s="525"/>
      <c r="HQY3" s="525"/>
      <c r="HQZ3" s="525"/>
      <c r="HRA3" s="525"/>
      <c r="HRB3" s="525"/>
      <c r="HRC3" s="525"/>
      <c r="HRD3" s="525"/>
      <c r="HRE3" s="525"/>
      <c r="HRF3" s="525"/>
      <c r="HRG3" s="525"/>
      <c r="HRH3" s="525"/>
      <c r="HRI3" s="525"/>
      <c r="HRJ3" s="525"/>
      <c r="HRK3" s="525"/>
      <c r="HRL3" s="525"/>
      <c r="HRM3" s="525"/>
      <c r="HRN3" s="525"/>
      <c r="HRO3" s="525"/>
      <c r="HRP3" s="525"/>
      <c r="HRQ3" s="525"/>
      <c r="HRR3" s="525"/>
      <c r="HRS3" s="525"/>
      <c r="HRT3" s="525"/>
      <c r="HRU3" s="525"/>
      <c r="HRV3" s="525"/>
      <c r="HRW3" s="525"/>
      <c r="HRX3" s="525"/>
      <c r="HRY3" s="525"/>
      <c r="HRZ3" s="525"/>
      <c r="HSA3" s="525"/>
      <c r="HSB3" s="525"/>
      <c r="HSC3" s="525"/>
      <c r="HSD3" s="525"/>
      <c r="HSE3" s="525"/>
      <c r="HSF3" s="525"/>
      <c r="HSG3" s="525"/>
      <c r="HSH3" s="525"/>
      <c r="HSI3" s="525"/>
      <c r="HSJ3" s="525"/>
      <c r="HSK3" s="525"/>
      <c r="HSL3" s="525"/>
      <c r="HSM3" s="525"/>
      <c r="HSN3" s="525"/>
      <c r="HSO3" s="525"/>
      <c r="HSP3" s="525"/>
      <c r="HSQ3" s="525"/>
      <c r="HSR3" s="525"/>
      <c r="HSS3" s="525"/>
      <c r="HST3" s="525"/>
      <c r="HSU3" s="525"/>
      <c r="HSV3" s="525"/>
      <c r="HSW3" s="525"/>
      <c r="HSX3" s="525"/>
      <c r="HSY3" s="525"/>
      <c r="HSZ3" s="525"/>
      <c r="HTA3" s="525"/>
      <c r="HTB3" s="525"/>
      <c r="HTC3" s="525"/>
      <c r="HTD3" s="525"/>
      <c r="HTE3" s="525"/>
      <c r="HTF3" s="525"/>
      <c r="HTG3" s="525"/>
      <c r="HTH3" s="525"/>
      <c r="HTI3" s="525"/>
      <c r="HTJ3" s="525"/>
      <c r="HTK3" s="525"/>
      <c r="HTL3" s="525"/>
      <c r="HTM3" s="525"/>
      <c r="HTN3" s="525"/>
      <c r="HTO3" s="525"/>
      <c r="HTP3" s="525"/>
      <c r="HTQ3" s="525"/>
      <c r="HTR3" s="525"/>
      <c r="HTS3" s="525"/>
      <c r="HTT3" s="525"/>
      <c r="HTU3" s="525"/>
      <c r="HTV3" s="525"/>
      <c r="HTW3" s="525"/>
      <c r="HTX3" s="525"/>
      <c r="HTY3" s="525"/>
      <c r="HTZ3" s="525"/>
      <c r="HUA3" s="525"/>
      <c r="HUB3" s="525"/>
      <c r="HUC3" s="525"/>
      <c r="HUD3" s="525"/>
      <c r="HUE3" s="525"/>
      <c r="HUF3" s="525"/>
      <c r="HUG3" s="525"/>
      <c r="HUH3" s="525"/>
      <c r="HUI3" s="525"/>
      <c r="HUJ3" s="525"/>
      <c r="HUK3" s="525"/>
      <c r="HUL3" s="525"/>
      <c r="HUM3" s="525"/>
      <c r="HUN3" s="525"/>
      <c r="HUO3" s="525"/>
      <c r="HUP3" s="525"/>
      <c r="HUQ3" s="525"/>
      <c r="HUR3" s="525"/>
      <c r="HUS3" s="525"/>
      <c r="HUT3" s="525"/>
      <c r="HUU3" s="525"/>
      <c r="HUV3" s="525"/>
      <c r="HUW3" s="525"/>
      <c r="HUX3" s="525"/>
      <c r="HUY3" s="525"/>
      <c r="HUZ3" s="525"/>
      <c r="HVA3" s="525"/>
      <c r="HVB3" s="525"/>
      <c r="HVC3" s="525"/>
      <c r="HVD3" s="525"/>
      <c r="HVE3" s="525"/>
      <c r="HVF3" s="525"/>
      <c r="HVG3" s="525"/>
      <c r="HVH3" s="525"/>
      <c r="HVI3" s="525"/>
      <c r="HVJ3" s="525"/>
      <c r="HVK3" s="525"/>
      <c r="HVL3" s="525"/>
      <c r="HVM3" s="525"/>
      <c r="HVN3" s="525"/>
      <c r="HVO3" s="525"/>
      <c r="HVP3" s="525"/>
      <c r="HVQ3" s="525"/>
      <c r="HVR3" s="525"/>
      <c r="HVS3" s="525"/>
      <c r="HVT3" s="525"/>
      <c r="HVU3" s="525"/>
      <c r="HVV3" s="525"/>
      <c r="HVW3" s="525"/>
      <c r="HVX3" s="525"/>
      <c r="HVY3" s="525"/>
      <c r="HVZ3" s="525"/>
      <c r="HWA3" s="525"/>
      <c r="HWB3" s="525"/>
      <c r="HWC3" s="525"/>
      <c r="HWD3" s="525"/>
      <c r="HWE3" s="525"/>
      <c r="HWF3" s="525"/>
      <c r="HWG3" s="525"/>
      <c r="HWH3" s="525"/>
      <c r="HWI3" s="525"/>
      <c r="HWJ3" s="525"/>
      <c r="HWK3" s="525"/>
      <c r="HWL3" s="525"/>
      <c r="HWM3" s="525"/>
      <c r="HWN3" s="525"/>
      <c r="HWO3" s="525"/>
      <c r="HWP3" s="525"/>
      <c r="HWQ3" s="525"/>
      <c r="HWR3" s="525"/>
      <c r="HWS3" s="525"/>
      <c r="HWT3" s="525"/>
      <c r="HWU3" s="525"/>
      <c r="HWV3" s="525"/>
      <c r="HWW3" s="525"/>
      <c r="HWX3" s="525"/>
      <c r="HWY3" s="525"/>
      <c r="HWZ3" s="525"/>
      <c r="HXA3" s="525"/>
      <c r="HXB3" s="525"/>
      <c r="HXC3" s="525"/>
      <c r="HXD3" s="525"/>
      <c r="HXE3" s="525"/>
      <c r="HXF3" s="525"/>
      <c r="HXG3" s="525"/>
      <c r="HXH3" s="525"/>
      <c r="HXI3" s="525"/>
      <c r="HXJ3" s="525"/>
      <c r="HXK3" s="525"/>
      <c r="HXL3" s="525"/>
      <c r="HXM3" s="525"/>
      <c r="HXN3" s="525"/>
      <c r="HXO3" s="525"/>
      <c r="HXP3" s="525"/>
      <c r="HXQ3" s="525"/>
      <c r="HXR3" s="525"/>
      <c r="HXS3" s="525"/>
      <c r="HXT3" s="525"/>
      <c r="HXU3" s="525"/>
      <c r="HXV3" s="525"/>
      <c r="HXW3" s="525"/>
      <c r="HXX3" s="525"/>
      <c r="HXY3" s="525"/>
      <c r="HXZ3" s="525"/>
      <c r="HYA3" s="525"/>
      <c r="HYB3" s="525"/>
      <c r="HYC3" s="525"/>
      <c r="HYD3" s="525"/>
      <c r="HYE3" s="525"/>
      <c r="HYF3" s="525"/>
      <c r="HYG3" s="525"/>
      <c r="HYH3" s="525"/>
      <c r="HYI3" s="525"/>
      <c r="HYJ3" s="525"/>
      <c r="HYK3" s="525"/>
      <c r="HYL3" s="525"/>
      <c r="HYM3" s="525"/>
      <c r="HYN3" s="525"/>
      <c r="HYO3" s="525"/>
      <c r="HYP3" s="525"/>
      <c r="HYQ3" s="525"/>
      <c r="HYR3" s="525"/>
      <c r="HYS3" s="525"/>
      <c r="HYT3" s="525"/>
      <c r="HYU3" s="525"/>
      <c r="HYV3" s="525"/>
      <c r="HYW3" s="525"/>
      <c r="HYX3" s="525"/>
      <c r="HYY3" s="525"/>
      <c r="HYZ3" s="525"/>
      <c r="HZA3" s="525"/>
      <c r="HZB3" s="525"/>
      <c r="HZC3" s="525"/>
      <c r="HZD3" s="525"/>
      <c r="HZE3" s="525"/>
      <c r="HZF3" s="525"/>
      <c r="HZG3" s="525"/>
      <c r="HZH3" s="525"/>
      <c r="HZI3" s="525"/>
      <c r="HZJ3" s="525"/>
      <c r="HZK3" s="525"/>
      <c r="HZL3" s="525"/>
      <c r="HZM3" s="525"/>
      <c r="HZN3" s="525"/>
      <c r="HZO3" s="525"/>
      <c r="HZP3" s="525"/>
      <c r="HZQ3" s="525"/>
      <c r="HZR3" s="525"/>
      <c r="HZS3" s="525"/>
      <c r="HZT3" s="525"/>
      <c r="HZU3" s="525"/>
      <c r="HZV3" s="525"/>
      <c r="HZW3" s="525"/>
      <c r="HZX3" s="525"/>
      <c r="HZY3" s="525"/>
      <c r="HZZ3" s="525"/>
      <c r="IAA3" s="525"/>
      <c r="IAB3" s="525"/>
      <c r="IAC3" s="525"/>
      <c r="IAD3" s="525"/>
      <c r="IAE3" s="525"/>
      <c r="IAF3" s="525"/>
      <c r="IAG3" s="525"/>
      <c r="IAH3" s="525"/>
      <c r="IAI3" s="525"/>
      <c r="IAJ3" s="525"/>
      <c r="IAK3" s="525"/>
      <c r="IAL3" s="525"/>
      <c r="IAM3" s="525"/>
      <c r="IAN3" s="525"/>
      <c r="IAO3" s="525"/>
      <c r="IAP3" s="525"/>
      <c r="IAQ3" s="525"/>
      <c r="IAR3" s="525"/>
      <c r="IAS3" s="525"/>
      <c r="IAT3" s="525"/>
      <c r="IAU3" s="525"/>
      <c r="IAV3" s="525"/>
      <c r="IAW3" s="525"/>
      <c r="IAX3" s="525"/>
      <c r="IAY3" s="525"/>
      <c r="IAZ3" s="525"/>
      <c r="IBA3" s="525"/>
      <c r="IBB3" s="525"/>
      <c r="IBC3" s="525"/>
      <c r="IBD3" s="525"/>
      <c r="IBE3" s="525"/>
      <c r="IBF3" s="525"/>
      <c r="IBG3" s="525"/>
      <c r="IBH3" s="525"/>
      <c r="IBI3" s="525"/>
      <c r="IBJ3" s="525"/>
      <c r="IBK3" s="525"/>
      <c r="IBL3" s="525"/>
      <c r="IBM3" s="525"/>
      <c r="IBN3" s="525"/>
      <c r="IBO3" s="525"/>
      <c r="IBP3" s="525"/>
      <c r="IBQ3" s="525"/>
      <c r="IBR3" s="525"/>
      <c r="IBS3" s="525"/>
      <c r="IBT3" s="525"/>
      <c r="IBU3" s="525"/>
      <c r="IBV3" s="525"/>
      <c r="IBW3" s="525"/>
      <c r="IBX3" s="525"/>
      <c r="IBY3" s="525"/>
      <c r="IBZ3" s="525"/>
      <c r="ICA3" s="525"/>
      <c r="ICB3" s="525"/>
      <c r="ICC3" s="525"/>
      <c r="ICD3" s="525"/>
      <c r="ICE3" s="525"/>
      <c r="ICF3" s="525"/>
      <c r="ICG3" s="525"/>
      <c r="ICH3" s="525"/>
      <c r="ICI3" s="525"/>
      <c r="ICJ3" s="525"/>
      <c r="ICK3" s="525"/>
      <c r="ICL3" s="525"/>
      <c r="ICM3" s="525"/>
      <c r="ICN3" s="525"/>
      <c r="ICO3" s="525"/>
      <c r="ICP3" s="525"/>
      <c r="ICQ3" s="525"/>
      <c r="ICR3" s="525"/>
      <c r="ICS3" s="525"/>
      <c r="ICT3" s="525"/>
      <c r="ICU3" s="525"/>
      <c r="ICV3" s="525"/>
      <c r="ICW3" s="525"/>
      <c r="ICX3" s="525"/>
      <c r="ICY3" s="525"/>
      <c r="ICZ3" s="525"/>
      <c r="IDA3" s="525"/>
      <c r="IDB3" s="525"/>
      <c r="IDC3" s="525"/>
      <c r="IDD3" s="525"/>
      <c r="IDE3" s="525"/>
      <c r="IDF3" s="525"/>
      <c r="IDG3" s="525"/>
      <c r="IDH3" s="525"/>
      <c r="IDI3" s="525"/>
      <c r="IDJ3" s="525"/>
      <c r="IDK3" s="525"/>
      <c r="IDL3" s="525"/>
      <c r="IDM3" s="525"/>
      <c r="IDN3" s="525"/>
      <c r="IDO3" s="525"/>
      <c r="IDP3" s="525"/>
      <c r="IDQ3" s="525"/>
      <c r="IDR3" s="525"/>
      <c r="IDS3" s="525"/>
      <c r="IDT3" s="525"/>
      <c r="IDU3" s="525"/>
      <c r="IDV3" s="525"/>
      <c r="IDW3" s="525"/>
      <c r="IDX3" s="525"/>
      <c r="IDY3" s="525"/>
      <c r="IDZ3" s="525"/>
      <c r="IEA3" s="525"/>
      <c r="IEB3" s="525"/>
      <c r="IEC3" s="525"/>
      <c r="IED3" s="525"/>
      <c r="IEE3" s="525"/>
      <c r="IEF3" s="525"/>
      <c r="IEG3" s="525"/>
      <c r="IEH3" s="525"/>
      <c r="IEI3" s="525"/>
      <c r="IEJ3" s="525"/>
      <c r="IEK3" s="525"/>
      <c r="IEL3" s="525"/>
      <c r="IEM3" s="525"/>
      <c r="IEN3" s="525"/>
      <c r="IEO3" s="525"/>
      <c r="IEP3" s="525"/>
      <c r="IEQ3" s="525"/>
      <c r="IER3" s="525"/>
      <c r="IES3" s="525"/>
      <c r="IET3" s="525"/>
      <c r="IEU3" s="525"/>
      <c r="IEV3" s="525"/>
      <c r="IEW3" s="525"/>
      <c r="IEX3" s="525"/>
      <c r="IEY3" s="525"/>
      <c r="IEZ3" s="525"/>
      <c r="IFA3" s="525"/>
      <c r="IFB3" s="525"/>
      <c r="IFC3" s="525"/>
      <c r="IFD3" s="525"/>
      <c r="IFE3" s="525"/>
      <c r="IFF3" s="525"/>
      <c r="IFG3" s="525"/>
      <c r="IFH3" s="525"/>
      <c r="IFI3" s="525"/>
      <c r="IFJ3" s="525"/>
      <c r="IFK3" s="525"/>
      <c r="IFL3" s="525"/>
      <c r="IFM3" s="525"/>
      <c r="IFN3" s="525"/>
      <c r="IFO3" s="525"/>
      <c r="IFP3" s="525"/>
      <c r="IFQ3" s="525"/>
      <c r="IFR3" s="525"/>
      <c r="IFS3" s="525"/>
      <c r="IFT3" s="525"/>
      <c r="IFU3" s="525"/>
      <c r="IFV3" s="525"/>
      <c r="IFW3" s="525"/>
      <c r="IFX3" s="525"/>
      <c r="IFY3" s="525"/>
      <c r="IFZ3" s="525"/>
      <c r="IGA3" s="525"/>
      <c r="IGB3" s="525"/>
      <c r="IGC3" s="525"/>
      <c r="IGD3" s="525"/>
      <c r="IGE3" s="525"/>
      <c r="IGF3" s="525"/>
      <c r="IGG3" s="525"/>
      <c r="IGH3" s="525"/>
      <c r="IGI3" s="525"/>
      <c r="IGJ3" s="525"/>
      <c r="IGK3" s="525"/>
      <c r="IGL3" s="525"/>
      <c r="IGM3" s="525"/>
      <c r="IGN3" s="525"/>
      <c r="IGO3" s="525"/>
      <c r="IGP3" s="525"/>
      <c r="IGQ3" s="525"/>
      <c r="IGR3" s="525"/>
      <c r="IGS3" s="525"/>
      <c r="IGT3" s="525"/>
      <c r="IGU3" s="525"/>
      <c r="IGV3" s="525"/>
      <c r="IGW3" s="525"/>
      <c r="IGX3" s="525"/>
      <c r="IGY3" s="525"/>
      <c r="IGZ3" s="525"/>
      <c r="IHA3" s="525"/>
      <c r="IHB3" s="525"/>
      <c r="IHC3" s="525"/>
      <c r="IHD3" s="525"/>
      <c r="IHE3" s="525"/>
      <c r="IHF3" s="525"/>
      <c r="IHG3" s="525"/>
      <c r="IHH3" s="525"/>
      <c r="IHI3" s="525"/>
      <c r="IHJ3" s="525"/>
      <c r="IHK3" s="525"/>
      <c r="IHL3" s="525"/>
      <c r="IHM3" s="525"/>
      <c r="IHN3" s="525"/>
      <c r="IHO3" s="525"/>
      <c r="IHP3" s="525"/>
      <c r="IHQ3" s="525"/>
      <c r="IHR3" s="525"/>
      <c r="IHS3" s="525"/>
      <c r="IHT3" s="525"/>
      <c r="IHU3" s="525"/>
      <c r="IHV3" s="525"/>
      <c r="IHW3" s="525"/>
      <c r="IHX3" s="525"/>
      <c r="IHY3" s="525"/>
      <c r="IHZ3" s="525"/>
      <c r="IIA3" s="525"/>
      <c r="IIB3" s="525"/>
      <c r="IIC3" s="525"/>
      <c r="IID3" s="525"/>
      <c r="IIE3" s="525"/>
      <c r="IIF3" s="525"/>
      <c r="IIG3" s="525"/>
      <c r="IIH3" s="525"/>
      <c r="III3" s="525"/>
      <c r="IIJ3" s="525"/>
      <c r="IIK3" s="525"/>
      <c r="IIL3" s="525"/>
      <c r="IIM3" s="525"/>
      <c r="IIN3" s="525"/>
      <c r="IIO3" s="525"/>
      <c r="IIP3" s="525"/>
      <c r="IIQ3" s="525"/>
      <c r="IIR3" s="525"/>
      <c r="IIS3" s="525"/>
      <c r="IIT3" s="525"/>
      <c r="IIU3" s="525"/>
      <c r="IIV3" s="525"/>
      <c r="IIW3" s="525"/>
      <c r="IIX3" s="525"/>
      <c r="IIY3" s="525"/>
      <c r="IIZ3" s="525"/>
      <c r="IJA3" s="525"/>
      <c r="IJB3" s="525"/>
      <c r="IJC3" s="525"/>
      <c r="IJD3" s="525"/>
      <c r="IJE3" s="525"/>
      <c r="IJF3" s="525"/>
      <c r="IJG3" s="525"/>
      <c r="IJH3" s="525"/>
      <c r="IJI3" s="525"/>
      <c r="IJJ3" s="525"/>
      <c r="IJK3" s="525"/>
      <c r="IJL3" s="525"/>
      <c r="IJM3" s="525"/>
      <c r="IJN3" s="525"/>
      <c r="IJO3" s="525"/>
      <c r="IJP3" s="525"/>
      <c r="IJQ3" s="525"/>
      <c r="IJR3" s="525"/>
      <c r="IJS3" s="525"/>
      <c r="IJT3" s="525"/>
      <c r="IJU3" s="525"/>
      <c r="IJV3" s="525"/>
      <c r="IJW3" s="525"/>
      <c r="IJX3" s="525"/>
      <c r="IJY3" s="525"/>
      <c r="IJZ3" s="525"/>
      <c r="IKA3" s="525"/>
      <c r="IKB3" s="525"/>
      <c r="IKC3" s="525"/>
      <c r="IKD3" s="525"/>
      <c r="IKE3" s="525"/>
      <c r="IKF3" s="525"/>
      <c r="IKG3" s="525"/>
      <c r="IKH3" s="525"/>
      <c r="IKI3" s="525"/>
      <c r="IKJ3" s="525"/>
      <c r="IKK3" s="525"/>
      <c r="IKL3" s="525"/>
      <c r="IKM3" s="525"/>
      <c r="IKN3" s="525"/>
      <c r="IKO3" s="525"/>
      <c r="IKP3" s="525"/>
      <c r="IKQ3" s="525"/>
      <c r="IKR3" s="525"/>
      <c r="IKS3" s="525"/>
      <c r="IKT3" s="525"/>
      <c r="IKU3" s="525"/>
      <c r="IKV3" s="525"/>
      <c r="IKW3" s="525"/>
      <c r="IKX3" s="525"/>
      <c r="IKY3" s="525"/>
      <c r="IKZ3" s="525"/>
      <c r="ILA3" s="525"/>
      <c r="ILB3" s="525"/>
      <c r="ILC3" s="525"/>
      <c r="ILD3" s="525"/>
      <c r="ILE3" s="525"/>
      <c r="ILF3" s="525"/>
      <c r="ILG3" s="525"/>
      <c r="ILH3" s="525"/>
      <c r="ILI3" s="525"/>
      <c r="ILJ3" s="525"/>
      <c r="ILK3" s="525"/>
      <c r="ILL3" s="525"/>
      <c r="ILM3" s="525"/>
      <c r="ILN3" s="525"/>
      <c r="ILO3" s="525"/>
      <c r="ILP3" s="525"/>
      <c r="ILQ3" s="525"/>
      <c r="ILR3" s="525"/>
      <c r="ILS3" s="525"/>
      <c r="ILT3" s="525"/>
      <c r="ILU3" s="525"/>
      <c r="ILV3" s="525"/>
      <c r="ILW3" s="525"/>
      <c r="ILX3" s="525"/>
      <c r="ILY3" s="525"/>
      <c r="ILZ3" s="525"/>
      <c r="IMA3" s="525"/>
      <c r="IMB3" s="525"/>
      <c r="IMC3" s="525"/>
      <c r="IMD3" s="525"/>
      <c r="IME3" s="525"/>
      <c r="IMF3" s="525"/>
      <c r="IMG3" s="525"/>
      <c r="IMH3" s="525"/>
      <c r="IMI3" s="525"/>
      <c r="IMJ3" s="525"/>
      <c r="IMK3" s="525"/>
      <c r="IML3" s="525"/>
      <c r="IMM3" s="525"/>
      <c r="IMN3" s="525"/>
      <c r="IMO3" s="525"/>
      <c r="IMP3" s="525"/>
      <c r="IMQ3" s="525"/>
      <c r="IMR3" s="525"/>
      <c r="IMS3" s="525"/>
      <c r="IMT3" s="525"/>
      <c r="IMU3" s="525"/>
      <c r="IMV3" s="525"/>
      <c r="IMW3" s="525"/>
      <c r="IMX3" s="525"/>
      <c r="IMY3" s="525"/>
      <c r="IMZ3" s="525"/>
      <c r="INA3" s="525"/>
      <c r="INB3" s="525"/>
      <c r="INC3" s="525"/>
      <c r="IND3" s="525"/>
      <c r="INE3" s="525"/>
      <c r="INF3" s="525"/>
      <c r="ING3" s="525"/>
      <c r="INH3" s="525"/>
      <c r="INI3" s="525"/>
      <c r="INJ3" s="525"/>
      <c r="INK3" s="525"/>
      <c r="INL3" s="525"/>
      <c r="INM3" s="525"/>
      <c r="INN3" s="525"/>
      <c r="INO3" s="525"/>
      <c r="INP3" s="525"/>
      <c r="INQ3" s="525"/>
      <c r="INR3" s="525"/>
      <c r="INS3" s="525"/>
      <c r="INT3" s="525"/>
      <c r="INU3" s="525"/>
      <c r="INV3" s="525"/>
      <c r="INW3" s="525"/>
      <c r="INX3" s="525"/>
      <c r="INY3" s="525"/>
      <c r="INZ3" s="525"/>
      <c r="IOA3" s="525"/>
      <c r="IOB3" s="525"/>
      <c r="IOC3" s="525"/>
      <c r="IOD3" s="525"/>
      <c r="IOE3" s="525"/>
      <c r="IOF3" s="525"/>
      <c r="IOG3" s="525"/>
      <c r="IOH3" s="525"/>
      <c r="IOI3" s="525"/>
      <c r="IOJ3" s="525"/>
      <c r="IOK3" s="525"/>
      <c r="IOL3" s="525"/>
      <c r="IOM3" s="525"/>
      <c r="ION3" s="525"/>
      <c r="IOO3" s="525"/>
      <c r="IOP3" s="525"/>
      <c r="IOQ3" s="525"/>
      <c r="IOR3" s="525"/>
      <c r="IOS3" s="525"/>
      <c r="IOT3" s="525"/>
      <c r="IOU3" s="525"/>
      <c r="IOV3" s="525"/>
      <c r="IOW3" s="525"/>
      <c r="IOX3" s="525"/>
      <c r="IOY3" s="525"/>
      <c r="IOZ3" s="525"/>
      <c r="IPA3" s="525"/>
      <c r="IPB3" s="525"/>
      <c r="IPC3" s="525"/>
      <c r="IPD3" s="525"/>
      <c r="IPE3" s="525"/>
      <c r="IPF3" s="525"/>
      <c r="IPG3" s="525"/>
      <c r="IPH3" s="525"/>
      <c r="IPI3" s="525"/>
      <c r="IPJ3" s="525"/>
      <c r="IPK3" s="525"/>
      <c r="IPL3" s="525"/>
      <c r="IPM3" s="525"/>
      <c r="IPN3" s="525"/>
      <c r="IPO3" s="525"/>
      <c r="IPP3" s="525"/>
      <c r="IPQ3" s="525"/>
      <c r="IPR3" s="525"/>
      <c r="IPS3" s="525"/>
      <c r="IPT3" s="525"/>
      <c r="IPU3" s="525"/>
      <c r="IPV3" s="525"/>
      <c r="IPW3" s="525"/>
      <c r="IPX3" s="525"/>
      <c r="IPY3" s="525"/>
      <c r="IPZ3" s="525"/>
      <c r="IQA3" s="525"/>
      <c r="IQB3" s="525"/>
      <c r="IQC3" s="525"/>
      <c r="IQD3" s="525"/>
      <c r="IQE3" s="525"/>
      <c r="IQF3" s="525"/>
      <c r="IQG3" s="525"/>
      <c r="IQH3" s="525"/>
      <c r="IQI3" s="525"/>
      <c r="IQJ3" s="525"/>
      <c r="IQK3" s="525"/>
      <c r="IQL3" s="525"/>
      <c r="IQM3" s="525"/>
      <c r="IQN3" s="525"/>
      <c r="IQO3" s="525"/>
      <c r="IQP3" s="525"/>
      <c r="IQQ3" s="525"/>
      <c r="IQR3" s="525"/>
      <c r="IQS3" s="525"/>
      <c r="IQT3" s="525"/>
      <c r="IQU3" s="525"/>
      <c r="IQV3" s="525"/>
      <c r="IQW3" s="525"/>
      <c r="IQX3" s="525"/>
      <c r="IQY3" s="525"/>
      <c r="IQZ3" s="525"/>
      <c r="IRA3" s="525"/>
      <c r="IRB3" s="525"/>
      <c r="IRC3" s="525"/>
      <c r="IRD3" s="525"/>
      <c r="IRE3" s="525"/>
      <c r="IRF3" s="525"/>
      <c r="IRG3" s="525"/>
      <c r="IRH3" s="525"/>
      <c r="IRI3" s="525"/>
      <c r="IRJ3" s="525"/>
      <c r="IRK3" s="525"/>
      <c r="IRL3" s="525"/>
      <c r="IRM3" s="525"/>
      <c r="IRN3" s="525"/>
      <c r="IRO3" s="525"/>
      <c r="IRP3" s="525"/>
      <c r="IRQ3" s="525"/>
      <c r="IRR3" s="525"/>
      <c r="IRS3" s="525"/>
      <c r="IRT3" s="525"/>
      <c r="IRU3" s="525"/>
      <c r="IRV3" s="525"/>
      <c r="IRW3" s="525"/>
      <c r="IRX3" s="525"/>
      <c r="IRY3" s="525"/>
      <c r="IRZ3" s="525"/>
      <c r="ISA3" s="525"/>
      <c r="ISB3" s="525"/>
      <c r="ISC3" s="525"/>
      <c r="ISD3" s="525"/>
      <c r="ISE3" s="525"/>
      <c r="ISF3" s="525"/>
      <c r="ISG3" s="525"/>
      <c r="ISH3" s="525"/>
      <c r="ISI3" s="525"/>
      <c r="ISJ3" s="525"/>
      <c r="ISK3" s="525"/>
      <c r="ISL3" s="525"/>
      <c r="ISM3" s="525"/>
      <c r="ISN3" s="525"/>
      <c r="ISO3" s="525"/>
      <c r="ISP3" s="525"/>
      <c r="ISQ3" s="525"/>
      <c r="ISR3" s="525"/>
      <c r="ISS3" s="525"/>
      <c r="IST3" s="525"/>
      <c r="ISU3" s="525"/>
      <c r="ISV3" s="525"/>
      <c r="ISW3" s="525"/>
      <c r="ISX3" s="525"/>
      <c r="ISY3" s="525"/>
      <c r="ISZ3" s="525"/>
      <c r="ITA3" s="525"/>
      <c r="ITB3" s="525"/>
      <c r="ITC3" s="525"/>
      <c r="ITD3" s="525"/>
      <c r="ITE3" s="525"/>
      <c r="ITF3" s="525"/>
      <c r="ITG3" s="525"/>
      <c r="ITH3" s="525"/>
      <c r="ITI3" s="525"/>
      <c r="ITJ3" s="525"/>
      <c r="ITK3" s="525"/>
      <c r="ITL3" s="525"/>
      <c r="ITM3" s="525"/>
      <c r="ITN3" s="525"/>
      <c r="ITO3" s="525"/>
      <c r="ITP3" s="525"/>
      <c r="ITQ3" s="525"/>
      <c r="ITR3" s="525"/>
      <c r="ITS3" s="525"/>
      <c r="ITT3" s="525"/>
      <c r="ITU3" s="525"/>
      <c r="ITV3" s="525"/>
      <c r="ITW3" s="525"/>
      <c r="ITX3" s="525"/>
      <c r="ITY3" s="525"/>
      <c r="ITZ3" s="525"/>
      <c r="IUA3" s="525"/>
      <c r="IUB3" s="525"/>
      <c r="IUC3" s="525"/>
      <c r="IUD3" s="525"/>
      <c r="IUE3" s="525"/>
      <c r="IUF3" s="525"/>
      <c r="IUG3" s="525"/>
      <c r="IUH3" s="525"/>
      <c r="IUI3" s="525"/>
      <c r="IUJ3" s="525"/>
      <c r="IUK3" s="525"/>
      <c r="IUL3" s="525"/>
      <c r="IUM3" s="525"/>
      <c r="IUN3" s="525"/>
      <c r="IUO3" s="525"/>
      <c r="IUP3" s="525"/>
      <c r="IUQ3" s="525"/>
      <c r="IUR3" s="525"/>
      <c r="IUS3" s="525"/>
      <c r="IUT3" s="525"/>
      <c r="IUU3" s="525"/>
      <c r="IUV3" s="525"/>
      <c r="IUW3" s="525"/>
      <c r="IUX3" s="525"/>
      <c r="IUY3" s="525"/>
      <c r="IUZ3" s="525"/>
      <c r="IVA3" s="525"/>
      <c r="IVB3" s="525"/>
      <c r="IVC3" s="525"/>
      <c r="IVD3" s="525"/>
      <c r="IVE3" s="525"/>
      <c r="IVF3" s="525"/>
      <c r="IVG3" s="525"/>
      <c r="IVH3" s="525"/>
      <c r="IVI3" s="525"/>
      <c r="IVJ3" s="525"/>
      <c r="IVK3" s="525"/>
      <c r="IVL3" s="525"/>
      <c r="IVM3" s="525"/>
      <c r="IVN3" s="525"/>
      <c r="IVO3" s="525"/>
      <c r="IVP3" s="525"/>
      <c r="IVQ3" s="525"/>
      <c r="IVR3" s="525"/>
      <c r="IVS3" s="525"/>
      <c r="IVT3" s="525"/>
      <c r="IVU3" s="525"/>
      <c r="IVV3" s="525"/>
      <c r="IVW3" s="525"/>
      <c r="IVX3" s="525"/>
      <c r="IVY3" s="525"/>
      <c r="IVZ3" s="525"/>
      <c r="IWA3" s="525"/>
      <c r="IWB3" s="525"/>
      <c r="IWC3" s="525"/>
      <c r="IWD3" s="525"/>
      <c r="IWE3" s="525"/>
      <c r="IWF3" s="525"/>
      <c r="IWG3" s="525"/>
      <c r="IWH3" s="525"/>
      <c r="IWI3" s="525"/>
      <c r="IWJ3" s="525"/>
      <c r="IWK3" s="525"/>
      <c r="IWL3" s="525"/>
      <c r="IWM3" s="525"/>
      <c r="IWN3" s="525"/>
      <c r="IWO3" s="525"/>
      <c r="IWP3" s="525"/>
      <c r="IWQ3" s="525"/>
      <c r="IWR3" s="525"/>
      <c r="IWS3" s="525"/>
      <c r="IWT3" s="525"/>
      <c r="IWU3" s="525"/>
      <c r="IWV3" s="525"/>
      <c r="IWW3" s="525"/>
      <c r="IWX3" s="525"/>
      <c r="IWY3" s="525"/>
      <c r="IWZ3" s="525"/>
      <c r="IXA3" s="525"/>
      <c r="IXB3" s="525"/>
      <c r="IXC3" s="525"/>
      <c r="IXD3" s="525"/>
      <c r="IXE3" s="525"/>
      <c r="IXF3" s="525"/>
      <c r="IXG3" s="525"/>
      <c r="IXH3" s="525"/>
      <c r="IXI3" s="525"/>
      <c r="IXJ3" s="525"/>
      <c r="IXK3" s="525"/>
      <c r="IXL3" s="525"/>
      <c r="IXM3" s="525"/>
      <c r="IXN3" s="525"/>
      <c r="IXO3" s="525"/>
      <c r="IXP3" s="525"/>
      <c r="IXQ3" s="525"/>
      <c r="IXR3" s="525"/>
      <c r="IXS3" s="525"/>
      <c r="IXT3" s="525"/>
      <c r="IXU3" s="525"/>
      <c r="IXV3" s="525"/>
      <c r="IXW3" s="525"/>
      <c r="IXX3" s="525"/>
      <c r="IXY3" s="525"/>
      <c r="IXZ3" s="525"/>
      <c r="IYA3" s="525"/>
      <c r="IYB3" s="525"/>
      <c r="IYC3" s="525"/>
      <c r="IYD3" s="525"/>
      <c r="IYE3" s="525"/>
      <c r="IYF3" s="525"/>
      <c r="IYG3" s="525"/>
      <c r="IYH3" s="525"/>
      <c r="IYI3" s="525"/>
      <c r="IYJ3" s="525"/>
      <c r="IYK3" s="525"/>
      <c r="IYL3" s="525"/>
      <c r="IYM3" s="525"/>
      <c r="IYN3" s="525"/>
      <c r="IYO3" s="525"/>
      <c r="IYP3" s="525"/>
      <c r="IYQ3" s="525"/>
      <c r="IYR3" s="525"/>
      <c r="IYS3" s="525"/>
      <c r="IYT3" s="525"/>
      <c r="IYU3" s="525"/>
      <c r="IYV3" s="525"/>
      <c r="IYW3" s="525"/>
      <c r="IYX3" s="525"/>
      <c r="IYY3" s="525"/>
      <c r="IYZ3" s="525"/>
      <c r="IZA3" s="525"/>
      <c r="IZB3" s="525"/>
      <c r="IZC3" s="525"/>
      <c r="IZD3" s="525"/>
      <c r="IZE3" s="525"/>
      <c r="IZF3" s="525"/>
      <c r="IZG3" s="525"/>
      <c r="IZH3" s="525"/>
      <c r="IZI3" s="525"/>
      <c r="IZJ3" s="525"/>
      <c r="IZK3" s="525"/>
      <c r="IZL3" s="525"/>
      <c r="IZM3" s="525"/>
      <c r="IZN3" s="525"/>
      <c r="IZO3" s="525"/>
      <c r="IZP3" s="525"/>
      <c r="IZQ3" s="525"/>
      <c r="IZR3" s="525"/>
      <c r="IZS3" s="525"/>
      <c r="IZT3" s="525"/>
      <c r="IZU3" s="525"/>
      <c r="IZV3" s="525"/>
      <c r="IZW3" s="525"/>
      <c r="IZX3" s="525"/>
      <c r="IZY3" s="525"/>
      <c r="IZZ3" s="525"/>
      <c r="JAA3" s="525"/>
      <c r="JAB3" s="525"/>
      <c r="JAC3" s="525"/>
      <c r="JAD3" s="525"/>
      <c r="JAE3" s="525"/>
      <c r="JAF3" s="525"/>
      <c r="JAG3" s="525"/>
      <c r="JAH3" s="525"/>
      <c r="JAI3" s="525"/>
      <c r="JAJ3" s="525"/>
      <c r="JAK3" s="525"/>
      <c r="JAL3" s="525"/>
      <c r="JAM3" s="525"/>
      <c r="JAN3" s="525"/>
      <c r="JAO3" s="525"/>
      <c r="JAP3" s="525"/>
      <c r="JAQ3" s="525"/>
      <c r="JAR3" s="525"/>
      <c r="JAS3" s="525"/>
      <c r="JAT3" s="525"/>
      <c r="JAU3" s="525"/>
      <c r="JAV3" s="525"/>
      <c r="JAW3" s="525"/>
      <c r="JAX3" s="525"/>
      <c r="JAY3" s="525"/>
      <c r="JAZ3" s="525"/>
      <c r="JBA3" s="525"/>
      <c r="JBB3" s="525"/>
      <c r="JBC3" s="525"/>
      <c r="JBD3" s="525"/>
      <c r="JBE3" s="525"/>
      <c r="JBF3" s="525"/>
      <c r="JBG3" s="525"/>
      <c r="JBH3" s="525"/>
      <c r="JBI3" s="525"/>
      <c r="JBJ3" s="525"/>
      <c r="JBK3" s="525"/>
      <c r="JBL3" s="525"/>
      <c r="JBM3" s="525"/>
      <c r="JBN3" s="525"/>
      <c r="JBO3" s="525"/>
      <c r="JBP3" s="525"/>
      <c r="JBQ3" s="525"/>
      <c r="JBR3" s="525"/>
      <c r="JBS3" s="525"/>
      <c r="JBT3" s="525"/>
      <c r="JBU3" s="525"/>
      <c r="JBV3" s="525"/>
      <c r="JBW3" s="525"/>
      <c r="JBX3" s="525"/>
      <c r="JBY3" s="525"/>
      <c r="JBZ3" s="525"/>
      <c r="JCA3" s="525"/>
      <c r="JCB3" s="525"/>
      <c r="JCC3" s="525"/>
      <c r="JCD3" s="525"/>
      <c r="JCE3" s="525"/>
      <c r="JCF3" s="525"/>
      <c r="JCG3" s="525"/>
      <c r="JCH3" s="525"/>
      <c r="JCI3" s="525"/>
      <c r="JCJ3" s="525"/>
      <c r="JCK3" s="525"/>
      <c r="JCL3" s="525"/>
      <c r="JCM3" s="525"/>
      <c r="JCN3" s="525"/>
      <c r="JCO3" s="525"/>
      <c r="JCP3" s="525"/>
      <c r="JCQ3" s="525"/>
      <c r="JCR3" s="525"/>
      <c r="JCS3" s="525"/>
      <c r="JCT3" s="525"/>
      <c r="JCU3" s="525"/>
      <c r="JCV3" s="525"/>
      <c r="JCW3" s="525"/>
      <c r="JCX3" s="525"/>
      <c r="JCY3" s="525"/>
      <c r="JCZ3" s="525"/>
      <c r="JDA3" s="525"/>
      <c r="JDB3" s="525"/>
      <c r="JDC3" s="525"/>
      <c r="JDD3" s="525"/>
      <c r="JDE3" s="525"/>
      <c r="JDF3" s="525"/>
      <c r="JDG3" s="525"/>
      <c r="JDH3" s="525"/>
      <c r="JDI3" s="525"/>
      <c r="JDJ3" s="525"/>
      <c r="JDK3" s="525"/>
      <c r="JDL3" s="525"/>
      <c r="JDM3" s="525"/>
      <c r="JDN3" s="525"/>
      <c r="JDO3" s="525"/>
      <c r="JDP3" s="525"/>
      <c r="JDQ3" s="525"/>
      <c r="JDR3" s="525"/>
      <c r="JDS3" s="525"/>
      <c r="JDT3" s="525"/>
      <c r="JDU3" s="525"/>
      <c r="JDV3" s="525"/>
      <c r="JDW3" s="525"/>
      <c r="JDX3" s="525"/>
      <c r="JDY3" s="525"/>
      <c r="JDZ3" s="525"/>
      <c r="JEA3" s="525"/>
      <c r="JEB3" s="525"/>
      <c r="JEC3" s="525"/>
      <c r="JED3" s="525"/>
      <c r="JEE3" s="525"/>
      <c r="JEF3" s="525"/>
      <c r="JEG3" s="525"/>
      <c r="JEH3" s="525"/>
      <c r="JEI3" s="525"/>
      <c r="JEJ3" s="525"/>
      <c r="JEK3" s="525"/>
      <c r="JEL3" s="525"/>
      <c r="JEM3" s="525"/>
      <c r="JEN3" s="525"/>
      <c r="JEO3" s="525"/>
      <c r="JEP3" s="525"/>
      <c r="JEQ3" s="525"/>
      <c r="JER3" s="525"/>
      <c r="JES3" s="525"/>
      <c r="JET3" s="525"/>
      <c r="JEU3" s="525"/>
      <c r="JEV3" s="525"/>
      <c r="JEW3" s="525"/>
      <c r="JEX3" s="525"/>
      <c r="JEY3" s="525"/>
      <c r="JEZ3" s="525"/>
      <c r="JFA3" s="525"/>
      <c r="JFB3" s="525"/>
      <c r="JFC3" s="525"/>
      <c r="JFD3" s="525"/>
      <c r="JFE3" s="525"/>
      <c r="JFF3" s="525"/>
      <c r="JFG3" s="525"/>
      <c r="JFH3" s="525"/>
      <c r="JFI3" s="525"/>
      <c r="JFJ3" s="525"/>
      <c r="JFK3" s="525"/>
      <c r="JFL3" s="525"/>
      <c r="JFM3" s="525"/>
      <c r="JFN3" s="525"/>
      <c r="JFO3" s="525"/>
      <c r="JFP3" s="525"/>
      <c r="JFQ3" s="525"/>
      <c r="JFR3" s="525"/>
      <c r="JFS3" s="525"/>
      <c r="JFT3" s="525"/>
      <c r="JFU3" s="525"/>
      <c r="JFV3" s="525"/>
      <c r="JFW3" s="525"/>
      <c r="JFX3" s="525"/>
      <c r="JFY3" s="525"/>
      <c r="JFZ3" s="525"/>
      <c r="JGA3" s="525"/>
      <c r="JGB3" s="525"/>
      <c r="JGC3" s="525"/>
      <c r="JGD3" s="525"/>
      <c r="JGE3" s="525"/>
      <c r="JGF3" s="525"/>
      <c r="JGG3" s="525"/>
      <c r="JGH3" s="525"/>
      <c r="JGI3" s="525"/>
      <c r="JGJ3" s="525"/>
      <c r="JGK3" s="525"/>
      <c r="JGL3" s="525"/>
      <c r="JGM3" s="525"/>
      <c r="JGN3" s="525"/>
      <c r="JGO3" s="525"/>
      <c r="JGP3" s="525"/>
      <c r="JGQ3" s="525"/>
      <c r="JGR3" s="525"/>
      <c r="JGS3" s="525"/>
      <c r="JGT3" s="525"/>
      <c r="JGU3" s="525"/>
      <c r="JGV3" s="525"/>
      <c r="JGW3" s="525"/>
      <c r="JGX3" s="525"/>
      <c r="JGY3" s="525"/>
      <c r="JGZ3" s="525"/>
      <c r="JHA3" s="525"/>
      <c r="JHB3" s="525"/>
      <c r="JHC3" s="525"/>
      <c r="JHD3" s="525"/>
      <c r="JHE3" s="525"/>
      <c r="JHF3" s="525"/>
      <c r="JHG3" s="525"/>
      <c r="JHH3" s="525"/>
      <c r="JHI3" s="525"/>
      <c r="JHJ3" s="525"/>
      <c r="JHK3" s="525"/>
      <c r="JHL3" s="525"/>
      <c r="JHM3" s="525"/>
      <c r="JHN3" s="525"/>
      <c r="JHO3" s="525"/>
      <c r="JHP3" s="525"/>
      <c r="JHQ3" s="525"/>
      <c r="JHR3" s="525"/>
      <c r="JHS3" s="525"/>
      <c r="JHT3" s="525"/>
      <c r="JHU3" s="525"/>
      <c r="JHV3" s="525"/>
      <c r="JHW3" s="525"/>
      <c r="JHX3" s="525"/>
      <c r="JHY3" s="525"/>
      <c r="JHZ3" s="525"/>
      <c r="JIA3" s="525"/>
      <c r="JIB3" s="525"/>
      <c r="JIC3" s="525"/>
      <c r="JID3" s="525"/>
      <c r="JIE3" s="525"/>
      <c r="JIF3" s="525"/>
      <c r="JIG3" s="525"/>
      <c r="JIH3" s="525"/>
      <c r="JII3" s="525"/>
      <c r="JIJ3" s="525"/>
      <c r="JIK3" s="525"/>
      <c r="JIL3" s="525"/>
      <c r="JIM3" s="525"/>
      <c r="JIN3" s="525"/>
      <c r="JIO3" s="525"/>
      <c r="JIP3" s="525"/>
      <c r="JIQ3" s="525"/>
      <c r="JIR3" s="525"/>
      <c r="JIS3" s="525"/>
      <c r="JIT3" s="525"/>
      <c r="JIU3" s="525"/>
      <c r="JIV3" s="525"/>
      <c r="JIW3" s="525"/>
      <c r="JIX3" s="525"/>
      <c r="JIY3" s="525"/>
      <c r="JIZ3" s="525"/>
      <c r="JJA3" s="525"/>
      <c r="JJB3" s="525"/>
      <c r="JJC3" s="525"/>
      <c r="JJD3" s="525"/>
      <c r="JJE3" s="525"/>
      <c r="JJF3" s="525"/>
      <c r="JJG3" s="525"/>
      <c r="JJH3" s="525"/>
      <c r="JJI3" s="525"/>
      <c r="JJJ3" s="525"/>
      <c r="JJK3" s="525"/>
      <c r="JJL3" s="525"/>
      <c r="JJM3" s="525"/>
      <c r="JJN3" s="525"/>
      <c r="JJO3" s="525"/>
      <c r="JJP3" s="525"/>
      <c r="JJQ3" s="525"/>
      <c r="JJR3" s="525"/>
      <c r="JJS3" s="525"/>
      <c r="JJT3" s="525"/>
      <c r="JJU3" s="525"/>
      <c r="JJV3" s="525"/>
      <c r="JJW3" s="525"/>
      <c r="JJX3" s="525"/>
      <c r="JJY3" s="525"/>
      <c r="JJZ3" s="525"/>
      <c r="JKA3" s="525"/>
      <c r="JKB3" s="525"/>
      <c r="JKC3" s="525"/>
      <c r="JKD3" s="525"/>
      <c r="JKE3" s="525"/>
      <c r="JKF3" s="525"/>
      <c r="JKG3" s="525"/>
      <c r="JKH3" s="525"/>
      <c r="JKI3" s="525"/>
      <c r="JKJ3" s="525"/>
      <c r="JKK3" s="525"/>
      <c r="JKL3" s="525"/>
      <c r="JKM3" s="525"/>
      <c r="JKN3" s="525"/>
      <c r="JKO3" s="525"/>
      <c r="JKP3" s="525"/>
      <c r="JKQ3" s="525"/>
      <c r="JKR3" s="525"/>
      <c r="JKS3" s="525"/>
      <c r="JKT3" s="525"/>
      <c r="JKU3" s="525"/>
      <c r="JKV3" s="525"/>
      <c r="JKW3" s="525"/>
      <c r="JKX3" s="525"/>
      <c r="JKY3" s="525"/>
      <c r="JKZ3" s="525"/>
      <c r="JLA3" s="525"/>
      <c r="JLB3" s="525"/>
      <c r="JLC3" s="525"/>
      <c r="JLD3" s="525"/>
      <c r="JLE3" s="525"/>
      <c r="JLF3" s="525"/>
      <c r="JLG3" s="525"/>
      <c r="JLH3" s="525"/>
      <c r="JLI3" s="525"/>
      <c r="JLJ3" s="525"/>
      <c r="JLK3" s="525"/>
      <c r="JLL3" s="525"/>
      <c r="JLM3" s="525"/>
      <c r="JLN3" s="525"/>
      <c r="JLO3" s="525"/>
      <c r="JLP3" s="525"/>
      <c r="JLQ3" s="525"/>
      <c r="JLR3" s="525"/>
      <c r="JLS3" s="525"/>
      <c r="JLT3" s="525"/>
      <c r="JLU3" s="525"/>
      <c r="JLV3" s="525"/>
      <c r="JLW3" s="525"/>
      <c r="JLX3" s="525"/>
      <c r="JLY3" s="525"/>
      <c r="JLZ3" s="525"/>
      <c r="JMA3" s="525"/>
      <c r="JMB3" s="525"/>
      <c r="JMC3" s="525"/>
      <c r="JMD3" s="525"/>
      <c r="JME3" s="525"/>
      <c r="JMF3" s="525"/>
      <c r="JMG3" s="525"/>
      <c r="JMH3" s="525"/>
      <c r="JMI3" s="525"/>
      <c r="JMJ3" s="525"/>
      <c r="JMK3" s="525"/>
      <c r="JML3" s="525"/>
      <c r="JMM3" s="525"/>
      <c r="JMN3" s="525"/>
      <c r="JMO3" s="525"/>
      <c r="JMP3" s="525"/>
      <c r="JMQ3" s="525"/>
      <c r="JMR3" s="525"/>
      <c r="JMS3" s="525"/>
      <c r="JMT3" s="525"/>
      <c r="JMU3" s="525"/>
      <c r="JMV3" s="525"/>
      <c r="JMW3" s="525"/>
      <c r="JMX3" s="525"/>
      <c r="JMY3" s="525"/>
      <c r="JMZ3" s="525"/>
      <c r="JNA3" s="525"/>
      <c r="JNB3" s="525"/>
      <c r="JNC3" s="525"/>
      <c r="JND3" s="525"/>
      <c r="JNE3" s="525"/>
      <c r="JNF3" s="525"/>
      <c r="JNG3" s="525"/>
      <c r="JNH3" s="525"/>
      <c r="JNI3" s="525"/>
      <c r="JNJ3" s="525"/>
      <c r="JNK3" s="525"/>
      <c r="JNL3" s="525"/>
      <c r="JNM3" s="525"/>
      <c r="JNN3" s="525"/>
      <c r="JNO3" s="525"/>
      <c r="JNP3" s="525"/>
      <c r="JNQ3" s="525"/>
      <c r="JNR3" s="525"/>
      <c r="JNS3" s="525"/>
      <c r="JNT3" s="525"/>
      <c r="JNU3" s="525"/>
      <c r="JNV3" s="525"/>
      <c r="JNW3" s="525"/>
      <c r="JNX3" s="525"/>
      <c r="JNY3" s="525"/>
      <c r="JNZ3" s="525"/>
      <c r="JOA3" s="525"/>
      <c r="JOB3" s="525"/>
      <c r="JOC3" s="525"/>
      <c r="JOD3" s="525"/>
      <c r="JOE3" s="525"/>
      <c r="JOF3" s="525"/>
      <c r="JOG3" s="525"/>
      <c r="JOH3" s="525"/>
      <c r="JOI3" s="525"/>
      <c r="JOJ3" s="525"/>
      <c r="JOK3" s="525"/>
      <c r="JOL3" s="525"/>
      <c r="JOM3" s="525"/>
      <c r="JON3" s="525"/>
      <c r="JOO3" s="525"/>
      <c r="JOP3" s="525"/>
      <c r="JOQ3" s="525"/>
      <c r="JOR3" s="525"/>
      <c r="JOS3" s="525"/>
      <c r="JOT3" s="525"/>
      <c r="JOU3" s="525"/>
      <c r="JOV3" s="525"/>
      <c r="JOW3" s="525"/>
      <c r="JOX3" s="525"/>
      <c r="JOY3" s="525"/>
      <c r="JOZ3" s="525"/>
      <c r="JPA3" s="525"/>
      <c r="JPB3" s="525"/>
      <c r="JPC3" s="525"/>
      <c r="JPD3" s="525"/>
      <c r="JPE3" s="525"/>
      <c r="JPF3" s="525"/>
      <c r="JPG3" s="525"/>
      <c r="JPH3" s="525"/>
      <c r="JPI3" s="525"/>
      <c r="JPJ3" s="525"/>
      <c r="JPK3" s="525"/>
      <c r="JPL3" s="525"/>
      <c r="JPM3" s="525"/>
      <c r="JPN3" s="525"/>
      <c r="JPO3" s="525"/>
      <c r="JPP3" s="525"/>
      <c r="JPQ3" s="525"/>
      <c r="JPR3" s="525"/>
      <c r="JPS3" s="525"/>
      <c r="JPT3" s="525"/>
      <c r="JPU3" s="525"/>
      <c r="JPV3" s="525"/>
      <c r="JPW3" s="525"/>
      <c r="JPX3" s="525"/>
      <c r="JPY3" s="525"/>
      <c r="JPZ3" s="525"/>
      <c r="JQA3" s="525"/>
      <c r="JQB3" s="525"/>
      <c r="JQC3" s="525"/>
      <c r="JQD3" s="525"/>
      <c r="JQE3" s="525"/>
      <c r="JQF3" s="525"/>
      <c r="JQG3" s="525"/>
      <c r="JQH3" s="525"/>
      <c r="JQI3" s="525"/>
      <c r="JQJ3" s="525"/>
      <c r="JQK3" s="525"/>
      <c r="JQL3" s="525"/>
      <c r="JQM3" s="525"/>
      <c r="JQN3" s="525"/>
      <c r="JQO3" s="525"/>
      <c r="JQP3" s="525"/>
      <c r="JQQ3" s="525"/>
      <c r="JQR3" s="525"/>
      <c r="JQS3" s="525"/>
      <c r="JQT3" s="525"/>
      <c r="JQU3" s="525"/>
      <c r="JQV3" s="525"/>
      <c r="JQW3" s="525"/>
      <c r="JQX3" s="525"/>
      <c r="JQY3" s="525"/>
      <c r="JQZ3" s="525"/>
      <c r="JRA3" s="525"/>
      <c r="JRB3" s="525"/>
      <c r="JRC3" s="525"/>
      <c r="JRD3" s="525"/>
      <c r="JRE3" s="525"/>
      <c r="JRF3" s="525"/>
      <c r="JRG3" s="525"/>
      <c r="JRH3" s="525"/>
      <c r="JRI3" s="525"/>
      <c r="JRJ3" s="525"/>
      <c r="JRK3" s="525"/>
      <c r="JRL3" s="525"/>
      <c r="JRM3" s="525"/>
      <c r="JRN3" s="525"/>
      <c r="JRO3" s="525"/>
      <c r="JRP3" s="525"/>
      <c r="JRQ3" s="525"/>
      <c r="JRR3" s="525"/>
      <c r="JRS3" s="525"/>
      <c r="JRT3" s="525"/>
      <c r="JRU3" s="525"/>
      <c r="JRV3" s="525"/>
      <c r="JRW3" s="525"/>
      <c r="JRX3" s="525"/>
      <c r="JRY3" s="525"/>
      <c r="JRZ3" s="525"/>
      <c r="JSA3" s="525"/>
      <c r="JSB3" s="525"/>
      <c r="JSC3" s="525"/>
      <c r="JSD3" s="525"/>
      <c r="JSE3" s="525"/>
      <c r="JSF3" s="525"/>
      <c r="JSG3" s="525"/>
      <c r="JSH3" s="525"/>
      <c r="JSI3" s="525"/>
      <c r="JSJ3" s="525"/>
      <c r="JSK3" s="525"/>
      <c r="JSL3" s="525"/>
      <c r="JSM3" s="525"/>
      <c r="JSN3" s="525"/>
      <c r="JSO3" s="525"/>
      <c r="JSP3" s="525"/>
      <c r="JSQ3" s="525"/>
      <c r="JSR3" s="525"/>
      <c r="JSS3" s="525"/>
      <c r="JST3" s="525"/>
      <c r="JSU3" s="525"/>
      <c r="JSV3" s="525"/>
      <c r="JSW3" s="525"/>
      <c r="JSX3" s="525"/>
      <c r="JSY3" s="525"/>
      <c r="JSZ3" s="525"/>
      <c r="JTA3" s="525"/>
      <c r="JTB3" s="525"/>
      <c r="JTC3" s="525"/>
      <c r="JTD3" s="525"/>
      <c r="JTE3" s="525"/>
      <c r="JTF3" s="525"/>
      <c r="JTG3" s="525"/>
      <c r="JTH3" s="525"/>
      <c r="JTI3" s="525"/>
      <c r="JTJ3" s="525"/>
      <c r="JTK3" s="525"/>
      <c r="JTL3" s="525"/>
      <c r="JTM3" s="525"/>
      <c r="JTN3" s="525"/>
      <c r="JTO3" s="525"/>
      <c r="JTP3" s="525"/>
      <c r="JTQ3" s="525"/>
      <c r="JTR3" s="525"/>
      <c r="JTS3" s="525"/>
      <c r="JTT3" s="525"/>
      <c r="JTU3" s="525"/>
      <c r="JTV3" s="525"/>
      <c r="JTW3" s="525"/>
      <c r="JTX3" s="525"/>
      <c r="JTY3" s="525"/>
      <c r="JTZ3" s="525"/>
      <c r="JUA3" s="525"/>
      <c r="JUB3" s="525"/>
      <c r="JUC3" s="525"/>
      <c r="JUD3" s="525"/>
      <c r="JUE3" s="525"/>
      <c r="JUF3" s="525"/>
      <c r="JUG3" s="525"/>
      <c r="JUH3" s="525"/>
      <c r="JUI3" s="525"/>
      <c r="JUJ3" s="525"/>
      <c r="JUK3" s="525"/>
      <c r="JUL3" s="525"/>
      <c r="JUM3" s="525"/>
      <c r="JUN3" s="525"/>
      <c r="JUO3" s="525"/>
      <c r="JUP3" s="525"/>
      <c r="JUQ3" s="525"/>
      <c r="JUR3" s="525"/>
      <c r="JUS3" s="525"/>
      <c r="JUT3" s="525"/>
      <c r="JUU3" s="525"/>
      <c r="JUV3" s="525"/>
      <c r="JUW3" s="525"/>
      <c r="JUX3" s="525"/>
      <c r="JUY3" s="525"/>
      <c r="JUZ3" s="525"/>
      <c r="JVA3" s="525"/>
      <c r="JVB3" s="525"/>
      <c r="JVC3" s="525"/>
      <c r="JVD3" s="525"/>
      <c r="JVE3" s="525"/>
      <c r="JVF3" s="525"/>
      <c r="JVG3" s="525"/>
      <c r="JVH3" s="525"/>
      <c r="JVI3" s="525"/>
      <c r="JVJ3" s="525"/>
      <c r="JVK3" s="525"/>
      <c r="JVL3" s="525"/>
      <c r="JVM3" s="525"/>
      <c r="JVN3" s="525"/>
      <c r="JVO3" s="525"/>
      <c r="JVP3" s="525"/>
      <c r="JVQ3" s="525"/>
      <c r="JVR3" s="525"/>
      <c r="JVS3" s="525"/>
      <c r="JVT3" s="525"/>
      <c r="JVU3" s="525"/>
      <c r="JVV3" s="525"/>
      <c r="JVW3" s="525"/>
      <c r="JVX3" s="525"/>
      <c r="JVY3" s="525"/>
      <c r="JVZ3" s="525"/>
      <c r="JWA3" s="525"/>
      <c r="JWB3" s="525"/>
      <c r="JWC3" s="525"/>
      <c r="JWD3" s="525"/>
      <c r="JWE3" s="525"/>
      <c r="JWF3" s="525"/>
      <c r="JWG3" s="525"/>
      <c r="JWH3" s="525"/>
      <c r="JWI3" s="525"/>
      <c r="JWJ3" s="525"/>
      <c r="JWK3" s="525"/>
      <c r="JWL3" s="525"/>
      <c r="JWM3" s="525"/>
      <c r="JWN3" s="525"/>
      <c r="JWO3" s="525"/>
      <c r="JWP3" s="525"/>
      <c r="JWQ3" s="525"/>
      <c r="JWR3" s="525"/>
      <c r="JWS3" s="525"/>
      <c r="JWT3" s="525"/>
      <c r="JWU3" s="525"/>
      <c r="JWV3" s="525"/>
      <c r="JWW3" s="525"/>
      <c r="JWX3" s="525"/>
      <c r="JWY3" s="525"/>
      <c r="JWZ3" s="525"/>
      <c r="JXA3" s="525"/>
      <c r="JXB3" s="525"/>
      <c r="JXC3" s="525"/>
      <c r="JXD3" s="525"/>
      <c r="JXE3" s="525"/>
      <c r="JXF3" s="525"/>
      <c r="JXG3" s="525"/>
      <c r="JXH3" s="525"/>
      <c r="JXI3" s="525"/>
      <c r="JXJ3" s="525"/>
      <c r="JXK3" s="525"/>
      <c r="JXL3" s="525"/>
      <c r="JXM3" s="525"/>
      <c r="JXN3" s="525"/>
      <c r="JXO3" s="525"/>
      <c r="JXP3" s="525"/>
      <c r="JXQ3" s="525"/>
      <c r="JXR3" s="525"/>
      <c r="JXS3" s="525"/>
      <c r="JXT3" s="525"/>
      <c r="JXU3" s="525"/>
      <c r="JXV3" s="525"/>
      <c r="JXW3" s="525"/>
      <c r="JXX3" s="525"/>
      <c r="JXY3" s="525"/>
      <c r="JXZ3" s="525"/>
      <c r="JYA3" s="525"/>
      <c r="JYB3" s="525"/>
      <c r="JYC3" s="525"/>
      <c r="JYD3" s="525"/>
      <c r="JYE3" s="525"/>
      <c r="JYF3" s="525"/>
      <c r="JYG3" s="525"/>
      <c r="JYH3" s="525"/>
      <c r="JYI3" s="525"/>
      <c r="JYJ3" s="525"/>
      <c r="JYK3" s="525"/>
      <c r="JYL3" s="525"/>
      <c r="JYM3" s="525"/>
      <c r="JYN3" s="525"/>
      <c r="JYO3" s="525"/>
      <c r="JYP3" s="525"/>
      <c r="JYQ3" s="525"/>
      <c r="JYR3" s="525"/>
      <c r="JYS3" s="525"/>
      <c r="JYT3" s="525"/>
      <c r="JYU3" s="525"/>
      <c r="JYV3" s="525"/>
      <c r="JYW3" s="525"/>
      <c r="JYX3" s="525"/>
      <c r="JYY3" s="525"/>
      <c r="JYZ3" s="525"/>
      <c r="JZA3" s="525"/>
      <c r="JZB3" s="525"/>
      <c r="JZC3" s="525"/>
      <c r="JZD3" s="525"/>
      <c r="JZE3" s="525"/>
      <c r="JZF3" s="525"/>
      <c r="JZG3" s="525"/>
      <c r="JZH3" s="525"/>
      <c r="JZI3" s="525"/>
      <c r="JZJ3" s="525"/>
      <c r="JZK3" s="525"/>
      <c r="JZL3" s="525"/>
      <c r="JZM3" s="525"/>
      <c r="JZN3" s="525"/>
      <c r="JZO3" s="525"/>
      <c r="JZP3" s="525"/>
      <c r="JZQ3" s="525"/>
      <c r="JZR3" s="525"/>
      <c r="JZS3" s="525"/>
      <c r="JZT3" s="525"/>
      <c r="JZU3" s="525"/>
      <c r="JZV3" s="525"/>
      <c r="JZW3" s="525"/>
      <c r="JZX3" s="525"/>
      <c r="JZY3" s="525"/>
      <c r="JZZ3" s="525"/>
      <c r="KAA3" s="525"/>
      <c r="KAB3" s="525"/>
      <c r="KAC3" s="525"/>
      <c r="KAD3" s="525"/>
      <c r="KAE3" s="525"/>
      <c r="KAF3" s="525"/>
      <c r="KAG3" s="525"/>
      <c r="KAH3" s="525"/>
      <c r="KAI3" s="525"/>
      <c r="KAJ3" s="525"/>
      <c r="KAK3" s="525"/>
      <c r="KAL3" s="525"/>
      <c r="KAM3" s="525"/>
      <c r="KAN3" s="525"/>
      <c r="KAO3" s="525"/>
      <c r="KAP3" s="525"/>
      <c r="KAQ3" s="525"/>
      <c r="KAR3" s="525"/>
      <c r="KAS3" s="525"/>
      <c r="KAT3" s="525"/>
      <c r="KAU3" s="525"/>
      <c r="KAV3" s="525"/>
      <c r="KAW3" s="525"/>
      <c r="KAX3" s="525"/>
      <c r="KAY3" s="525"/>
      <c r="KAZ3" s="525"/>
      <c r="KBA3" s="525"/>
      <c r="KBB3" s="525"/>
      <c r="KBC3" s="525"/>
      <c r="KBD3" s="525"/>
      <c r="KBE3" s="525"/>
      <c r="KBF3" s="525"/>
      <c r="KBG3" s="525"/>
      <c r="KBH3" s="525"/>
      <c r="KBI3" s="525"/>
      <c r="KBJ3" s="525"/>
      <c r="KBK3" s="525"/>
      <c r="KBL3" s="525"/>
      <c r="KBM3" s="525"/>
      <c r="KBN3" s="525"/>
      <c r="KBO3" s="525"/>
      <c r="KBP3" s="525"/>
      <c r="KBQ3" s="525"/>
      <c r="KBR3" s="525"/>
      <c r="KBS3" s="525"/>
      <c r="KBT3" s="525"/>
      <c r="KBU3" s="525"/>
      <c r="KBV3" s="525"/>
      <c r="KBW3" s="525"/>
      <c r="KBX3" s="525"/>
      <c r="KBY3" s="525"/>
      <c r="KBZ3" s="525"/>
      <c r="KCA3" s="525"/>
      <c r="KCB3" s="525"/>
      <c r="KCC3" s="525"/>
      <c r="KCD3" s="525"/>
      <c r="KCE3" s="525"/>
      <c r="KCF3" s="525"/>
      <c r="KCG3" s="525"/>
      <c r="KCH3" s="525"/>
      <c r="KCI3" s="525"/>
      <c r="KCJ3" s="525"/>
      <c r="KCK3" s="525"/>
      <c r="KCL3" s="525"/>
      <c r="KCM3" s="525"/>
      <c r="KCN3" s="525"/>
      <c r="KCO3" s="525"/>
      <c r="KCP3" s="525"/>
      <c r="KCQ3" s="525"/>
      <c r="KCR3" s="525"/>
      <c r="KCS3" s="525"/>
      <c r="KCT3" s="525"/>
      <c r="KCU3" s="525"/>
      <c r="KCV3" s="525"/>
      <c r="KCW3" s="525"/>
      <c r="KCX3" s="525"/>
      <c r="KCY3" s="525"/>
      <c r="KCZ3" s="525"/>
      <c r="KDA3" s="525"/>
      <c r="KDB3" s="525"/>
      <c r="KDC3" s="525"/>
      <c r="KDD3" s="525"/>
      <c r="KDE3" s="525"/>
      <c r="KDF3" s="525"/>
      <c r="KDG3" s="525"/>
      <c r="KDH3" s="525"/>
      <c r="KDI3" s="525"/>
      <c r="KDJ3" s="525"/>
      <c r="KDK3" s="525"/>
      <c r="KDL3" s="525"/>
      <c r="KDM3" s="525"/>
      <c r="KDN3" s="525"/>
      <c r="KDO3" s="525"/>
      <c r="KDP3" s="525"/>
      <c r="KDQ3" s="525"/>
      <c r="KDR3" s="525"/>
      <c r="KDS3" s="525"/>
      <c r="KDT3" s="525"/>
      <c r="KDU3" s="525"/>
      <c r="KDV3" s="525"/>
      <c r="KDW3" s="525"/>
      <c r="KDX3" s="525"/>
      <c r="KDY3" s="525"/>
      <c r="KDZ3" s="525"/>
      <c r="KEA3" s="525"/>
      <c r="KEB3" s="525"/>
      <c r="KEC3" s="525"/>
      <c r="KED3" s="525"/>
      <c r="KEE3" s="525"/>
      <c r="KEF3" s="525"/>
      <c r="KEG3" s="525"/>
      <c r="KEH3" s="525"/>
      <c r="KEI3" s="525"/>
      <c r="KEJ3" s="525"/>
      <c r="KEK3" s="525"/>
      <c r="KEL3" s="525"/>
      <c r="KEM3" s="525"/>
      <c r="KEN3" s="525"/>
      <c r="KEO3" s="525"/>
      <c r="KEP3" s="525"/>
      <c r="KEQ3" s="525"/>
      <c r="KER3" s="525"/>
      <c r="KES3" s="525"/>
      <c r="KET3" s="525"/>
      <c r="KEU3" s="525"/>
      <c r="KEV3" s="525"/>
      <c r="KEW3" s="525"/>
      <c r="KEX3" s="525"/>
      <c r="KEY3" s="525"/>
      <c r="KEZ3" s="525"/>
      <c r="KFA3" s="525"/>
      <c r="KFB3" s="525"/>
      <c r="KFC3" s="525"/>
      <c r="KFD3" s="525"/>
      <c r="KFE3" s="525"/>
      <c r="KFF3" s="525"/>
      <c r="KFG3" s="525"/>
      <c r="KFH3" s="525"/>
      <c r="KFI3" s="525"/>
      <c r="KFJ3" s="525"/>
      <c r="KFK3" s="525"/>
      <c r="KFL3" s="525"/>
      <c r="KFM3" s="525"/>
      <c r="KFN3" s="525"/>
      <c r="KFO3" s="525"/>
      <c r="KFP3" s="525"/>
      <c r="KFQ3" s="525"/>
      <c r="KFR3" s="525"/>
      <c r="KFS3" s="525"/>
      <c r="KFT3" s="525"/>
      <c r="KFU3" s="525"/>
      <c r="KFV3" s="525"/>
      <c r="KFW3" s="525"/>
      <c r="KFX3" s="525"/>
      <c r="KFY3" s="525"/>
      <c r="KFZ3" s="525"/>
      <c r="KGA3" s="525"/>
      <c r="KGB3" s="525"/>
      <c r="KGC3" s="525"/>
      <c r="KGD3" s="525"/>
      <c r="KGE3" s="525"/>
      <c r="KGF3" s="525"/>
      <c r="KGG3" s="525"/>
      <c r="KGH3" s="525"/>
      <c r="KGI3" s="525"/>
      <c r="KGJ3" s="525"/>
      <c r="KGK3" s="525"/>
      <c r="KGL3" s="525"/>
      <c r="KGM3" s="525"/>
      <c r="KGN3" s="525"/>
      <c r="KGO3" s="525"/>
      <c r="KGP3" s="525"/>
      <c r="KGQ3" s="525"/>
      <c r="KGR3" s="525"/>
      <c r="KGS3" s="525"/>
      <c r="KGT3" s="525"/>
      <c r="KGU3" s="525"/>
      <c r="KGV3" s="525"/>
      <c r="KGW3" s="525"/>
      <c r="KGX3" s="525"/>
      <c r="KGY3" s="525"/>
      <c r="KGZ3" s="525"/>
      <c r="KHA3" s="525"/>
      <c r="KHB3" s="525"/>
      <c r="KHC3" s="525"/>
      <c r="KHD3" s="525"/>
      <c r="KHE3" s="525"/>
      <c r="KHF3" s="525"/>
      <c r="KHG3" s="525"/>
      <c r="KHH3" s="525"/>
      <c r="KHI3" s="525"/>
      <c r="KHJ3" s="525"/>
      <c r="KHK3" s="525"/>
      <c r="KHL3" s="525"/>
      <c r="KHM3" s="525"/>
      <c r="KHN3" s="525"/>
      <c r="KHO3" s="525"/>
      <c r="KHP3" s="525"/>
      <c r="KHQ3" s="525"/>
      <c r="KHR3" s="525"/>
      <c r="KHS3" s="525"/>
      <c r="KHT3" s="525"/>
      <c r="KHU3" s="525"/>
      <c r="KHV3" s="525"/>
      <c r="KHW3" s="525"/>
      <c r="KHX3" s="525"/>
      <c r="KHY3" s="525"/>
      <c r="KHZ3" s="525"/>
      <c r="KIA3" s="525"/>
      <c r="KIB3" s="525"/>
      <c r="KIC3" s="525"/>
      <c r="KID3" s="525"/>
      <c r="KIE3" s="525"/>
      <c r="KIF3" s="525"/>
      <c r="KIG3" s="525"/>
      <c r="KIH3" s="525"/>
      <c r="KII3" s="525"/>
      <c r="KIJ3" s="525"/>
      <c r="KIK3" s="525"/>
      <c r="KIL3" s="525"/>
      <c r="KIM3" s="525"/>
      <c r="KIN3" s="525"/>
      <c r="KIO3" s="525"/>
      <c r="KIP3" s="525"/>
      <c r="KIQ3" s="525"/>
      <c r="KIR3" s="525"/>
      <c r="KIS3" s="525"/>
      <c r="KIT3" s="525"/>
      <c r="KIU3" s="525"/>
      <c r="KIV3" s="525"/>
      <c r="KIW3" s="525"/>
      <c r="KIX3" s="525"/>
      <c r="KIY3" s="525"/>
      <c r="KIZ3" s="525"/>
      <c r="KJA3" s="525"/>
      <c r="KJB3" s="525"/>
      <c r="KJC3" s="525"/>
      <c r="KJD3" s="525"/>
      <c r="KJE3" s="525"/>
      <c r="KJF3" s="525"/>
      <c r="KJG3" s="525"/>
      <c r="KJH3" s="525"/>
      <c r="KJI3" s="525"/>
      <c r="KJJ3" s="525"/>
      <c r="KJK3" s="525"/>
      <c r="KJL3" s="525"/>
      <c r="KJM3" s="525"/>
      <c r="KJN3" s="525"/>
      <c r="KJO3" s="525"/>
      <c r="KJP3" s="525"/>
      <c r="KJQ3" s="525"/>
      <c r="KJR3" s="525"/>
      <c r="KJS3" s="525"/>
      <c r="KJT3" s="525"/>
      <c r="KJU3" s="525"/>
      <c r="KJV3" s="525"/>
      <c r="KJW3" s="525"/>
      <c r="KJX3" s="525"/>
      <c r="KJY3" s="525"/>
      <c r="KJZ3" s="525"/>
      <c r="KKA3" s="525"/>
      <c r="KKB3" s="525"/>
      <c r="KKC3" s="525"/>
      <c r="KKD3" s="525"/>
      <c r="KKE3" s="525"/>
      <c r="KKF3" s="525"/>
      <c r="KKG3" s="525"/>
      <c r="KKH3" s="525"/>
      <c r="KKI3" s="525"/>
      <c r="KKJ3" s="525"/>
      <c r="KKK3" s="525"/>
      <c r="KKL3" s="525"/>
      <c r="KKM3" s="525"/>
      <c r="KKN3" s="525"/>
      <c r="KKO3" s="525"/>
      <c r="KKP3" s="525"/>
      <c r="KKQ3" s="525"/>
      <c r="KKR3" s="525"/>
      <c r="KKS3" s="525"/>
      <c r="KKT3" s="525"/>
      <c r="KKU3" s="525"/>
      <c r="KKV3" s="525"/>
      <c r="KKW3" s="525"/>
      <c r="KKX3" s="525"/>
      <c r="KKY3" s="525"/>
      <c r="KKZ3" s="525"/>
      <c r="KLA3" s="525"/>
      <c r="KLB3" s="525"/>
      <c r="KLC3" s="525"/>
      <c r="KLD3" s="525"/>
      <c r="KLE3" s="525"/>
      <c r="KLF3" s="525"/>
      <c r="KLG3" s="525"/>
      <c r="KLH3" s="525"/>
      <c r="KLI3" s="525"/>
      <c r="KLJ3" s="525"/>
      <c r="KLK3" s="525"/>
      <c r="KLL3" s="525"/>
      <c r="KLM3" s="525"/>
      <c r="KLN3" s="525"/>
      <c r="KLO3" s="525"/>
      <c r="KLP3" s="525"/>
      <c r="KLQ3" s="525"/>
      <c r="KLR3" s="525"/>
      <c r="KLS3" s="525"/>
      <c r="KLT3" s="525"/>
      <c r="KLU3" s="525"/>
      <c r="KLV3" s="525"/>
      <c r="KLW3" s="525"/>
      <c r="KLX3" s="525"/>
      <c r="KLY3" s="525"/>
      <c r="KLZ3" s="525"/>
      <c r="KMA3" s="525"/>
      <c r="KMB3" s="525"/>
      <c r="KMC3" s="525"/>
      <c r="KMD3" s="525"/>
      <c r="KME3" s="525"/>
      <c r="KMF3" s="525"/>
      <c r="KMG3" s="525"/>
      <c r="KMH3" s="525"/>
      <c r="KMI3" s="525"/>
      <c r="KMJ3" s="525"/>
      <c r="KMK3" s="525"/>
      <c r="KML3" s="525"/>
      <c r="KMM3" s="525"/>
      <c r="KMN3" s="525"/>
      <c r="KMO3" s="525"/>
      <c r="KMP3" s="525"/>
      <c r="KMQ3" s="525"/>
      <c r="KMR3" s="525"/>
      <c r="KMS3" s="525"/>
      <c r="KMT3" s="525"/>
      <c r="KMU3" s="525"/>
      <c r="KMV3" s="525"/>
      <c r="KMW3" s="525"/>
      <c r="KMX3" s="525"/>
      <c r="KMY3" s="525"/>
      <c r="KMZ3" s="525"/>
      <c r="KNA3" s="525"/>
      <c r="KNB3" s="525"/>
      <c r="KNC3" s="525"/>
      <c r="KND3" s="525"/>
      <c r="KNE3" s="525"/>
      <c r="KNF3" s="525"/>
      <c r="KNG3" s="525"/>
      <c r="KNH3" s="525"/>
      <c r="KNI3" s="525"/>
      <c r="KNJ3" s="525"/>
      <c r="KNK3" s="525"/>
      <c r="KNL3" s="525"/>
      <c r="KNM3" s="525"/>
      <c r="KNN3" s="525"/>
      <c r="KNO3" s="525"/>
      <c r="KNP3" s="525"/>
      <c r="KNQ3" s="525"/>
      <c r="KNR3" s="525"/>
      <c r="KNS3" s="525"/>
      <c r="KNT3" s="525"/>
      <c r="KNU3" s="525"/>
      <c r="KNV3" s="525"/>
      <c r="KNW3" s="525"/>
      <c r="KNX3" s="525"/>
      <c r="KNY3" s="525"/>
      <c r="KNZ3" s="525"/>
      <c r="KOA3" s="525"/>
      <c r="KOB3" s="525"/>
      <c r="KOC3" s="525"/>
      <c r="KOD3" s="525"/>
      <c r="KOE3" s="525"/>
      <c r="KOF3" s="525"/>
      <c r="KOG3" s="525"/>
      <c r="KOH3" s="525"/>
      <c r="KOI3" s="525"/>
      <c r="KOJ3" s="525"/>
      <c r="KOK3" s="525"/>
      <c r="KOL3" s="525"/>
      <c r="KOM3" s="525"/>
      <c r="KON3" s="525"/>
      <c r="KOO3" s="525"/>
      <c r="KOP3" s="525"/>
      <c r="KOQ3" s="525"/>
      <c r="KOR3" s="525"/>
      <c r="KOS3" s="525"/>
      <c r="KOT3" s="525"/>
      <c r="KOU3" s="525"/>
      <c r="KOV3" s="525"/>
      <c r="KOW3" s="525"/>
      <c r="KOX3" s="525"/>
      <c r="KOY3" s="525"/>
      <c r="KOZ3" s="525"/>
      <c r="KPA3" s="525"/>
      <c r="KPB3" s="525"/>
      <c r="KPC3" s="525"/>
      <c r="KPD3" s="525"/>
      <c r="KPE3" s="525"/>
      <c r="KPF3" s="525"/>
      <c r="KPG3" s="525"/>
      <c r="KPH3" s="525"/>
      <c r="KPI3" s="525"/>
      <c r="KPJ3" s="525"/>
      <c r="KPK3" s="525"/>
      <c r="KPL3" s="525"/>
      <c r="KPM3" s="525"/>
      <c r="KPN3" s="525"/>
      <c r="KPO3" s="525"/>
      <c r="KPP3" s="525"/>
      <c r="KPQ3" s="525"/>
      <c r="KPR3" s="525"/>
      <c r="KPS3" s="525"/>
      <c r="KPT3" s="525"/>
      <c r="KPU3" s="525"/>
      <c r="KPV3" s="525"/>
      <c r="KPW3" s="525"/>
      <c r="KPX3" s="525"/>
      <c r="KPY3" s="525"/>
      <c r="KPZ3" s="525"/>
      <c r="KQA3" s="525"/>
      <c r="KQB3" s="525"/>
      <c r="KQC3" s="525"/>
      <c r="KQD3" s="525"/>
      <c r="KQE3" s="525"/>
      <c r="KQF3" s="525"/>
      <c r="KQG3" s="525"/>
      <c r="KQH3" s="525"/>
      <c r="KQI3" s="525"/>
      <c r="KQJ3" s="525"/>
      <c r="KQK3" s="525"/>
      <c r="KQL3" s="525"/>
      <c r="KQM3" s="525"/>
      <c r="KQN3" s="525"/>
      <c r="KQO3" s="525"/>
      <c r="KQP3" s="525"/>
      <c r="KQQ3" s="525"/>
      <c r="KQR3" s="525"/>
      <c r="KQS3" s="525"/>
      <c r="KQT3" s="525"/>
      <c r="KQU3" s="525"/>
      <c r="KQV3" s="525"/>
      <c r="KQW3" s="525"/>
      <c r="KQX3" s="525"/>
      <c r="KQY3" s="525"/>
      <c r="KQZ3" s="525"/>
      <c r="KRA3" s="525"/>
      <c r="KRB3" s="525"/>
      <c r="KRC3" s="525"/>
      <c r="KRD3" s="525"/>
      <c r="KRE3" s="525"/>
      <c r="KRF3" s="525"/>
      <c r="KRG3" s="525"/>
      <c r="KRH3" s="525"/>
      <c r="KRI3" s="525"/>
      <c r="KRJ3" s="525"/>
      <c r="KRK3" s="525"/>
      <c r="KRL3" s="525"/>
      <c r="KRM3" s="525"/>
      <c r="KRN3" s="525"/>
      <c r="KRO3" s="525"/>
      <c r="KRP3" s="525"/>
      <c r="KRQ3" s="525"/>
      <c r="KRR3" s="525"/>
      <c r="KRS3" s="525"/>
      <c r="KRT3" s="525"/>
      <c r="KRU3" s="525"/>
      <c r="KRV3" s="525"/>
      <c r="KRW3" s="525"/>
      <c r="KRX3" s="525"/>
      <c r="KRY3" s="525"/>
      <c r="KRZ3" s="525"/>
      <c r="KSA3" s="525"/>
      <c r="KSB3" s="525"/>
      <c r="KSC3" s="525"/>
      <c r="KSD3" s="525"/>
      <c r="KSE3" s="525"/>
      <c r="KSF3" s="525"/>
      <c r="KSG3" s="525"/>
      <c r="KSH3" s="525"/>
      <c r="KSI3" s="525"/>
      <c r="KSJ3" s="525"/>
      <c r="KSK3" s="525"/>
      <c r="KSL3" s="525"/>
      <c r="KSM3" s="525"/>
      <c r="KSN3" s="525"/>
      <c r="KSO3" s="525"/>
      <c r="KSP3" s="525"/>
      <c r="KSQ3" s="525"/>
      <c r="KSR3" s="525"/>
      <c r="KSS3" s="525"/>
      <c r="KST3" s="525"/>
      <c r="KSU3" s="525"/>
      <c r="KSV3" s="525"/>
      <c r="KSW3" s="525"/>
      <c r="KSX3" s="525"/>
      <c r="KSY3" s="525"/>
      <c r="KSZ3" s="525"/>
      <c r="KTA3" s="525"/>
      <c r="KTB3" s="525"/>
      <c r="KTC3" s="525"/>
      <c r="KTD3" s="525"/>
      <c r="KTE3" s="525"/>
      <c r="KTF3" s="525"/>
      <c r="KTG3" s="525"/>
      <c r="KTH3" s="525"/>
      <c r="KTI3" s="525"/>
      <c r="KTJ3" s="525"/>
      <c r="KTK3" s="525"/>
      <c r="KTL3" s="525"/>
      <c r="KTM3" s="525"/>
      <c r="KTN3" s="525"/>
      <c r="KTO3" s="525"/>
      <c r="KTP3" s="525"/>
      <c r="KTQ3" s="525"/>
      <c r="KTR3" s="525"/>
      <c r="KTS3" s="525"/>
      <c r="KTT3" s="525"/>
      <c r="KTU3" s="525"/>
      <c r="KTV3" s="525"/>
      <c r="KTW3" s="525"/>
      <c r="KTX3" s="525"/>
      <c r="KTY3" s="525"/>
      <c r="KTZ3" s="525"/>
      <c r="KUA3" s="525"/>
      <c r="KUB3" s="525"/>
      <c r="KUC3" s="525"/>
      <c r="KUD3" s="525"/>
      <c r="KUE3" s="525"/>
      <c r="KUF3" s="525"/>
      <c r="KUG3" s="525"/>
      <c r="KUH3" s="525"/>
      <c r="KUI3" s="525"/>
      <c r="KUJ3" s="525"/>
      <c r="KUK3" s="525"/>
      <c r="KUL3" s="525"/>
      <c r="KUM3" s="525"/>
      <c r="KUN3" s="525"/>
      <c r="KUO3" s="525"/>
      <c r="KUP3" s="525"/>
      <c r="KUQ3" s="525"/>
      <c r="KUR3" s="525"/>
      <c r="KUS3" s="525"/>
      <c r="KUT3" s="525"/>
      <c r="KUU3" s="525"/>
      <c r="KUV3" s="525"/>
      <c r="KUW3" s="525"/>
      <c r="KUX3" s="525"/>
      <c r="KUY3" s="525"/>
      <c r="KUZ3" s="525"/>
      <c r="KVA3" s="525"/>
      <c r="KVB3" s="525"/>
      <c r="KVC3" s="525"/>
      <c r="KVD3" s="525"/>
      <c r="KVE3" s="525"/>
      <c r="KVF3" s="525"/>
      <c r="KVG3" s="525"/>
      <c r="KVH3" s="525"/>
      <c r="KVI3" s="525"/>
      <c r="KVJ3" s="525"/>
      <c r="KVK3" s="525"/>
      <c r="KVL3" s="525"/>
      <c r="KVM3" s="525"/>
      <c r="KVN3" s="525"/>
      <c r="KVO3" s="525"/>
      <c r="KVP3" s="525"/>
      <c r="KVQ3" s="525"/>
      <c r="KVR3" s="525"/>
      <c r="KVS3" s="525"/>
      <c r="KVT3" s="525"/>
      <c r="KVU3" s="525"/>
      <c r="KVV3" s="525"/>
      <c r="KVW3" s="525"/>
      <c r="KVX3" s="525"/>
      <c r="KVY3" s="525"/>
      <c r="KVZ3" s="525"/>
      <c r="KWA3" s="525"/>
      <c r="KWB3" s="525"/>
      <c r="KWC3" s="525"/>
      <c r="KWD3" s="525"/>
      <c r="KWE3" s="525"/>
      <c r="KWF3" s="525"/>
      <c r="KWG3" s="525"/>
      <c r="KWH3" s="525"/>
      <c r="KWI3" s="525"/>
      <c r="KWJ3" s="525"/>
      <c r="KWK3" s="525"/>
      <c r="KWL3" s="525"/>
      <c r="KWM3" s="525"/>
      <c r="KWN3" s="525"/>
      <c r="KWO3" s="525"/>
      <c r="KWP3" s="525"/>
      <c r="KWQ3" s="525"/>
      <c r="KWR3" s="525"/>
      <c r="KWS3" s="525"/>
      <c r="KWT3" s="525"/>
      <c r="KWU3" s="525"/>
      <c r="KWV3" s="525"/>
      <c r="KWW3" s="525"/>
      <c r="KWX3" s="525"/>
      <c r="KWY3" s="525"/>
      <c r="KWZ3" s="525"/>
      <c r="KXA3" s="525"/>
      <c r="KXB3" s="525"/>
      <c r="KXC3" s="525"/>
      <c r="KXD3" s="525"/>
      <c r="KXE3" s="525"/>
      <c r="KXF3" s="525"/>
      <c r="KXG3" s="525"/>
      <c r="KXH3" s="525"/>
      <c r="KXI3" s="525"/>
      <c r="KXJ3" s="525"/>
      <c r="KXK3" s="525"/>
      <c r="KXL3" s="525"/>
      <c r="KXM3" s="525"/>
      <c r="KXN3" s="525"/>
      <c r="KXO3" s="525"/>
      <c r="KXP3" s="525"/>
      <c r="KXQ3" s="525"/>
      <c r="KXR3" s="525"/>
      <c r="KXS3" s="525"/>
      <c r="KXT3" s="525"/>
      <c r="KXU3" s="525"/>
      <c r="KXV3" s="525"/>
      <c r="KXW3" s="525"/>
      <c r="KXX3" s="525"/>
      <c r="KXY3" s="525"/>
      <c r="KXZ3" s="525"/>
      <c r="KYA3" s="525"/>
      <c r="KYB3" s="525"/>
      <c r="KYC3" s="525"/>
      <c r="KYD3" s="525"/>
      <c r="KYE3" s="525"/>
      <c r="KYF3" s="525"/>
      <c r="KYG3" s="525"/>
      <c r="KYH3" s="525"/>
      <c r="KYI3" s="525"/>
      <c r="KYJ3" s="525"/>
      <c r="KYK3" s="525"/>
      <c r="KYL3" s="525"/>
      <c r="KYM3" s="525"/>
      <c r="KYN3" s="525"/>
      <c r="KYO3" s="525"/>
      <c r="KYP3" s="525"/>
      <c r="KYQ3" s="525"/>
      <c r="KYR3" s="525"/>
      <c r="KYS3" s="525"/>
      <c r="KYT3" s="525"/>
      <c r="KYU3" s="525"/>
      <c r="KYV3" s="525"/>
      <c r="KYW3" s="525"/>
      <c r="KYX3" s="525"/>
      <c r="KYY3" s="525"/>
      <c r="KYZ3" s="525"/>
      <c r="KZA3" s="525"/>
      <c r="KZB3" s="525"/>
      <c r="KZC3" s="525"/>
      <c r="KZD3" s="525"/>
      <c r="KZE3" s="525"/>
      <c r="KZF3" s="525"/>
      <c r="KZG3" s="525"/>
      <c r="KZH3" s="525"/>
      <c r="KZI3" s="525"/>
      <c r="KZJ3" s="525"/>
      <c r="KZK3" s="525"/>
      <c r="KZL3" s="525"/>
      <c r="KZM3" s="525"/>
      <c r="KZN3" s="525"/>
      <c r="KZO3" s="525"/>
      <c r="KZP3" s="525"/>
      <c r="KZQ3" s="525"/>
      <c r="KZR3" s="525"/>
      <c r="KZS3" s="525"/>
      <c r="KZT3" s="525"/>
      <c r="KZU3" s="525"/>
      <c r="KZV3" s="525"/>
      <c r="KZW3" s="525"/>
      <c r="KZX3" s="525"/>
      <c r="KZY3" s="525"/>
      <c r="KZZ3" s="525"/>
      <c r="LAA3" s="525"/>
      <c r="LAB3" s="525"/>
      <c r="LAC3" s="525"/>
      <c r="LAD3" s="525"/>
      <c r="LAE3" s="525"/>
      <c r="LAF3" s="525"/>
      <c r="LAG3" s="525"/>
      <c r="LAH3" s="525"/>
      <c r="LAI3" s="525"/>
      <c r="LAJ3" s="525"/>
      <c r="LAK3" s="525"/>
      <c r="LAL3" s="525"/>
      <c r="LAM3" s="525"/>
      <c r="LAN3" s="525"/>
      <c r="LAO3" s="525"/>
      <c r="LAP3" s="525"/>
      <c r="LAQ3" s="525"/>
      <c r="LAR3" s="525"/>
      <c r="LAS3" s="525"/>
      <c r="LAT3" s="525"/>
      <c r="LAU3" s="525"/>
      <c r="LAV3" s="525"/>
      <c r="LAW3" s="525"/>
      <c r="LAX3" s="525"/>
      <c r="LAY3" s="525"/>
      <c r="LAZ3" s="525"/>
      <c r="LBA3" s="525"/>
      <c r="LBB3" s="525"/>
      <c r="LBC3" s="525"/>
      <c r="LBD3" s="525"/>
      <c r="LBE3" s="525"/>
      <c r="LBF3" s="525"/>
      <c r="LBG3" s="525"/>
      <c r="LBH3" s="525"/>
      <c r="LBI3" s="525"/>
      <c r="LBJ3" s="525"/>
      <c r="LBK3" s="525"/>
      <c r="LBL3" s="525"/>
      <c r="LBM3" s="525"/>
      <c r="LBN3" s="525"/>
      <c r="LBO3" s="525"/>
      <c r="LBP3" s="525"/>
      <c r="LBQ3" s="525"/>
      <c r="LBR3" s="525"/>
      <c r="LBS3" s="525"/>
      <c r="LBT3" s="525"/>
      <c r="LBU3" s="525"/>
      <c r="LBV3" s="525"/>
      <c r="LBW3" s="525"/>
      <c r="LBX3" s="525"/>
      <c r="LBY3" s="525"/>
      <c r="LBZ3" s="525"/>
      <c r="LCA3" s="525"/>
      <c r="LCB3" s="525"/>
      <c r="LCC3" s="525"/>
      <c r="LCD3" s="525"/>
      <c r="LCE3" s="525"/>
      <c r="LCF3" s="525"/>
      <c r="LCG3" s="525"/>
      <c r="LCH3" s="525"/>
      <c r="LCI3" s="525"/>
      <c r="LCJ3" s="525"/>
      <c r="LCK3" s="525"/>
      <c r="LCL3" s="525"/>
      <c r="LCM3" s="525"/>
      <c r="LCN3" s="525"/>
      <c r="LCO3" s="525"/>
      <c r="LCP3" s="525"/>
      <c r="LCQ3" s="525"/>
      <c r="LCR3" s="525"/>
      <c r="LCS3" s="525"/>
      <c r="LCT3" s="525"/>
      <c r="LCU3" s="525"/>
      <c r="LCV3" s="525"/>
      <c r="LCW3" s="525"/>
      <c r="LCX3" s="525"/>
      <c r="LCY3" s="525"/>
      <c r="LCZ3" s="525"/>
      <c r="LDA3" s="525"/>
      <c r="LDB3" s="525"/>
      <c r="LDC3" s="525"/>
      <c r="LDD3" s="525"/>
      <c r="LDE3" s="525"/>
      <c r="LDF3" s="525"/>
      <c r="LDG3" s="525"/>
      <c r="LDH3" s="525"/>
      <c r="LDI3" s="525"/>
      <c r="LDJ3" s="525"/>
      <c r="LDK3" s="525"/>
      <c r="LDL3" s="525"/>
      <c r="LDM3" s="525"/>
      <c r="LDN3" s="525"/>
      <c r="LDO3" s="525"/>
      <c r="LDP3" s="525"/>
      <c r="LDQ3" s="525"/>
      <c r="LDR3" s="525"/>
      <c r="LDS3" s="525"/>
      <c r="LDT3" s="525"/>
      <c r="LDU3" s="525"/>
      <c r="LDV3" s="525"/>
      <c r="LDW3" s="525"/>
      <c r="LDX3" s="525"/>
      <c r="LDY3" s="525"/>
      <c r="LDZ3" s="525"/>
      <c r="LEA3" s="525"/>
      <c r="LEB3" s="525"/>
      <c r="LEC3" s="525"/>
      <c r="LED3" s="525"/>
      <c r="LEE3" s="525"/>
      <c r="LEF3" s="525"/>
      <c r="LEG3" s="525"/>
      <c r="LEH3" s="525"/>
      <c r="LEI3" s="525"/>
      <c r="LEJ3" s="525"/>
      <c r="LEK3" s="525"/>
      <c r="LEL3" s="525"/>
      <c r="LEM3" s="525"/>
      <c r="LEN3" s="525"/>
      <c r="LEO3" s="525"/>
      <c r="LEP3" s="525"/>
      <c r="LEQ3" s="525"/>
      <c r="LER3" s="525"/>
      <c r="LES3" s="525"/>
      <c r="LET3" s="525"/>
      <c r="LEU3" s="525"/>
      <c r="LEV3" s="525"/>
      <c r="LEW3" s="525"/>
      <c r="LEX3" s="525"/>
      <c r="LEY3" s="525"/>
      <c r="LEZ3" s="525"/>
      <c r="LFA3" s="525"/>
      <c r="LFB3" s="525"/>
      <c r="LFC3" s="525"/>
      <c r="LFD3" s="525"/>
      <c r="LFE3" s="525"/>
      <c r="LFF3" s="525"/>
      <c r="LFG3" s="525"/>
      <c r="LFH3" s="525"/>
      <c r="LFI3" s="525"/>
      <c r="LFJ3" s="525"/>
      <c r="LFK3" s="525"/>
      <c r="LFL3" s="525"/>
      <c r="LFM3" s="525"/>
      <c r="LFN3" s="525"/>
      <c r="LFO3" s="525"/>
      <c r="LFP3" s="525"/>
      <c r="LFQ3" s="525"/>
      <c r="LFR3" s="525"/>
      <c r="LFS3" s="525"/>
      <c r="LFT3" s="525"/>
      <c r="LFU3" s="525"/>
      <c r="LFV3" s="525"/>
      <c r="LFW3" s="525"/>
      <c r="LFX3" s="525"/>
      <c r="LFY3" s="525"/>
      <c r="LFZ3" s="525"/>
      <c r="LGA3" s="525"/>
      <c r="LGB3" s="525"/>
      <c r="LGC3" s="525"/>
      <c r="LGD3" s="525"/>
      <c r="LGE3" s="525"/>
      <c r="LGF3" s="525"/>
      <c r="LGG3" s="525"/>
      <c r="LGH3" s="525"/>
      <c r="LGI3" s="525"/>
      <c r="LGJ3" s="525"/>
      <c r="LGK3" s="525"/>
      <c r="LGL3" s="525"/>
      <c r="LGM3" s="525"/>
      <c r="LGN3" s="525"/>
      <c r="LGO3" s="525"/>
      <c r="LGP3" s="525"/>
      <c r="LGQ3" s="525"/>
      <c r="LGR3" s="525"/>
      <c r="LGS3" s="525"/>
      <c r="LGT3" s="525"/>
      <c r="LGU3" s="525"/>
      <c r="LGV3" s="525"/>
      <c r="LGW3" s="525"/>
      <c r="LGX3" s="525"/>
      <c r="LGY3" s="525"/>
      <c r="LGZ3" s="525"/>
      <c r="LHA3" s="525"/>
      <c r="LHB3" s="525"/>
      <c r="LHC3" s="525"/>
      <c r="LHD3" s="525"/>
      <c r="LHE3" s="525"/>
      <c r="LHF3" s="525"/>
      <c r="LHG3" s="525"/>
      <c r="LHH3" s="525"/>
      <c r="LHI3" s="525"/>
      <c r="LHJ3" s="525"/>
      <c r="LHK3" s="525"/>
      <c r="LHL3" s="525"/>
      <c r="LHM3" s="525"/>
      <c r="LHN3" s="525"/>
      <c r="LHO3" s="525"/>
      <c r="LHP3" s="525"/>
      <c r="LHQ3" s="525"/>
      <c r="LHR3" s="525"/>
      <c r="LHS3" s="525"/>
      <c r="LHT3" s="525"/>
      <c r="LHU3" s="525"/>
      <c r="LHV3" s="525"/>
      <c r="LHW3" s="525"/>
      <c r="LHX3" s="525"/>
      <c r="LHY3" s="525"/>
      <c r="LHZ3" s="525"/>
      <c r="LIA3" s="525"/>
      <c r="LIB3" s="525"/>
      <c r="LIC3" s="525"/>
      <c r="LID3" s="525"/>
      <c r="LIE3" s="525"/>
      <c r="LIF3" s="525"/>
      <c r="LIG3" s="525"/>
      <c r="LIH3" s="525"/>
      <c r="LII3" s="525"/>
      <c r="LIJ3" s="525"/>
      <c r="LIK3" s="525"/>
      <c r="LIL3" s="525"/>
      <c r="LIM3" s="525"/>
      <c r="LIN3" s="525"/>
      <c r="LIO3" s="525"/>
      <c r="LIP3" s="525"/>
      <c r="LIQ3" s="525"/>
      <c r="LIR3" s="525"/>
      <c r="LIS3" s="525"/>
      <c r="LIT3" s="525"/>
      <c r="LIU3" s="525"/>
      <c r="LIV3" s="525"/>
      <c r="LIW3" s="525"/>
      <c r="LIX3" s="525"/>
      <c r="LIY3" s="525"/>
      <c r="LIZ3" s="525"/>
      <c r="LJA3" s="525"/>
      <c r="LJB3" s="525"/>
      <c r="LJC3" s="525"/>
      <c r="LJD3" s="525"/>
      <c r="LJE3" s="525"/>
      <c r="LJF3" s="525"/>
      <c r="LJG3" s="525"/>
      <c r="LJH3" s="525"/>
      <c r="LJI3" s="525"/>
      <c r="LJJ3" s="525"/>
      <c r="LJK3" s="525"/>
      <c r="LJL3" s="525"/>
      <c r="LJM3" s="525"/>
      <c r="LJN3" s="525"/>
      <c r="LJO3" s="525"/>
      <c r="LJP3" s="525"/>
      <c r="LJQ3" s="525"/>
      <c r="LJR3" s="525"/>
      <c r="LJS3" s="525"/>
      <c r="LJT3" s="525"/>
      <c r="LJU3" s="525"/>
      <c r="LJV3" s="525"/>
      <c r="LJW3" s="525"/>
      <c r="LJX3" s="525"/>
      <c r="LJY3" s="525"/>
      <c r="LJZ3" s="525"/>
      <c r="LKA3" s="525"/>
      <c r="LKB3" s="525"/>
      <c r="LKC3" s="525"/>
      <c r="LKD3" s="525"/>
      <c r="LKE3" s="525"/>
      <c r="LKF3" s="525"/>
      <c r="LKG3" s="525"/>
      <c r="LKH3" s="525"/>
      <c r="LKI3" s="525"/>
      <c r="LKJ3" s="525"/>
      <c r="LKK3" s="525"/>
      <c r="LKL3" s="525"/>
      <c r="LKM3" s="525"/>
      <c r="LKN3" s="525"/>
      <c r="LKO3" s="525"/>
      <c r="LKP3" s="525"/>
      <c r="LKQ3" s="525"/>
      <c r="LKR3" s="525"/>
      <c r="LKS3" s="525"/>
      <c r="LKT3" s="525"/>
      <c r="LKU3" s="525"/>
      <c r="LKV3" s="525"/>
      <c r="LKW3" s="525"/>
      <c r="LKX3" s="525"/>
      <c r="LKY3" s="525"/>
      <c r="LKZ3" s="525"/>
      <c r="LLA3" s="525"/>
      <c r="LLB3" s="525"/>
      <c r="LLC3" s="525"/>
      <c r="LLD3" s="525"/>
      <c r="LLE3" s="525"/>
      <c r="LLF3" s="525"/>
      <c r="LLG3" s="525"/>
      <c r="LLH3" s="525"/>
      <c r="LLI3" s="525"/>
      <c r="LLJ3" s="525"/>
      <c r="LLK3" s="525"/>
      <c r="LLL3" s="525"/>
      <c r="LLM3" s="525"/>
      <c r="LLN3" s="525"/>
      <c r="LLO3" s="525"/>
      <c r="LLP3" s="525"/>
      <c r="LLQ3" s="525"/>
      <c r="LLR3" s="525"/>
      <c r="LLS3" s="525"/>
      <c r="LLT3" s="525"/>
      <c r="LLU3" s="525"/>
      <c r="LLV3" s="525"/>
      <c r="LLW3" s="525"/>
      <c r="LLX3" s="525"/>
      <c r="LLY3" s="525"/>
      <c r="LLZ3" s="525"/>
      <c r="LMA3" s="525"/>
      <c r="LMB3" s="525"/>
      <c r="LMC3" s="525"/>
      <c r="LMD3" s="525"/>
      <c r="LME3" s="525"/>
      <c r="LMF3" s="525"/>
      <c r="LMG3" s="525"/>
      <c r="LMH3" s="525"/>
      <c r="LMI3" s="525"/>
      <c r="LMJ3" s="525"/>
      <c r="LMK3" s="525"/>
      <c r="LML3" s="525"/>
      <c r="LMM3" s="525"/>
      <c r="LMN3" s="525"/>
      <c r="LMO3" s="525"/>
      <c r="LMP3" s="525"/>
      <c r="LMQ3" s="525"/>
      <c r="LMR3" s="525"/>
      <c r="LMS3" s="525"/>
      <c r="LMT3" s="525"/>
      <c r="LMU3" s="525"/>
      <c r="LMV3" s="525"/>
      <c r="LMW3" s="525"/>
      <c r="LMX3" s="525"/>
      <c r="LMY3" s="525"/>
      <c r="LMZ3" s="525"/>
      <c r="LNA3" s="525"/>
      <c r="LNB3" s="525"/>
      <c r="LNC3" s="525"/>
      <c r="LND3" s="525"/>
      <c r="LNE3" s="525"/>
      <c r="LNF3" s="525"/>
      <c r="LNG3" s="525"/>
      <c r="LNH3" s="525"/>
      <c r="LNI3" s="525"/>
      <c r="LNJ3" s="525"/>
      <c r="LNK3" s="525"/>
      <c r="LNL3" s="525"/>
      <c r="LNM3" s="525"/>
      <c r="LNN3" s="525"/>
      <c r="LNO3" s="525"/>
      <c r="LNP3" s="525"/>
      <c r="LNQ3" s="525"/>
      <c r="LNR3" s="525"/>
      <c r="LNS3" s="525"/>
      <c r="LNT3" s="525"/>
      <c r="LNU3" s="525"/>
      <c r="LNV3" s="525"/>
      <c r="LNW3" s="525"/>
      <c r="LNX3" s="525"/>
      <c r="LNY3" s="525"/>
      <c r="LNZ3" s="525"/>
      <c r="LOA3" s="525"/>
      <c r="LOB3" s="525"/>
      <c r="LOC3" s="525"/>
      <c r="LOD3" s="525"/>
      <c r="LOE3" s="525"/>
      <c r="LOF3" s="525"/>
      <c r="LOG3" s="525"/>
      <c r="LOH3" s="525"/>
      <c r="LOI3" s="525"/>
      <c r="LOJ3" s="525"/>
      <c r="LOK3" s="525"/>
      <c r="LOL3" s="525"/>
      <c r="LOM3" s="525"/>
      <c r="LON3" s="525"/>
      <c r="LOO3" s="525"/>
      <c r="LOP3" s="525"/>
      <c r="LOQ3" s="525"/>
      <c r="LOR3" s="525"/>
      <c r="LOS3" s="525"/>
      <c r="LOT3" s="525"/>
      <c r="LOU3" s="525"/>
      <c r="LOV3" s="525"/>
      <c r="LOW3" s="525"/>
      <c r="LOX3" s="525"/>
      <c r="LOY3" s="525"/>
      <c r="LOZ3" s="525"/>
      <c r="LPA3" s="525"/>
      <c r="LPB3" s="525"/>
      <c r="LPC3" s="525"/>
      <c r="LPD3" s="525"/>
      <c r="LPE3" s="525"/>
      <c r="LPF3" s="525"/>
      <c r="LPG3" s="525"/>
      <c r="LPH3" s="525"/>
      <c r="LPI3" s="525"/>
      <c r="LPJ3" s="525"/>
      <c r="LPK3" s="525"/>
      <c r="LPL3" s="525"/>
      <c r="LPM3" s="525"/>
      <c r="LPN3" s="525"/>
      <c r="LPO3" s="525"/>
      <c r="LPP3" s="525"/>
      <c r="LPQ3" s="525"/>
      <c r="LPR3" s="525"/>
      <c r="LPS3" s="525"/>
      <c r="LPT3" s="525"/>
      <c r="LPU3" s="525"/>
      <c r="LPV3" s="525"/>
      <c r="LPW3" s="525"/>
      <c r="LPX3" s="525"/>
      <c r="LPY3" s="525"/>
      <c r="LPZ3" s="525"/>
      <c r="LQA3" s="525"/>
      <c r="LQB3" s="525"/>
      <c r="LQC3" s="525"/>
      <c r="LQD3" s="525"/>
      <c r="LQE3" s="525"/>
      <c r="LQF3" s="525"/>
      <c r="LQG3" s="525"/>
      <c r="LQH3" s="525"/>
      <c r="LQI3" s="525"/>
      <c r="LQJ3" s="525"/>
      <c r="LQK3" s="525"/>
      <c r="LQL3" s="525"/>
      <c r="LQM3" s="525"/>
      <c r="LQN3" s="525"/>
      <c r="LQO3" s="525"/>
      <c r="LQP3" s="525"/>
      <c r="LQQ3" s="525"/>
      <c r="LQR3" s="525"/>
      <c r="LQS3" s="525"/>
      <c r="LQT3" s="525"/>
      <c r="LQU3" s="525"/>
      <c r="LQV3" s="525"/>
      <c r="LQW3" s="525"/>
      <c r="LQX3" s="525"/>
      <c r="LQY3" s="525"/>
      <c r="LQZ3" s="525"/>
      <c r="LRA3" s="525"/>
      <c r="LRB3" s="525"/>
      <c r="LRC3" s="525"/>
      <c r="LRD3" s="525"/>
      <c r="LRE3" s="525"/>
      <c r="LRF3" s="525"/>
      <c r="LRG3" s="525"/>
      <c r="LRH3" s="525"/>
      <c r="LRI3" s="525"/>
      <c r="LRJ3" s="525"/>
      <c r="LRK3" s="525"/>
      <c r="LRL3" s="525"/>
      <c r="LRM3" s="525"/>
      <c r="LRN3" s="525"/>
      <c r="LRO3" s="525"/>
      <c r="LRP3" s="525"/>
      <c r="LRQ3" s="525"/>
      <c r="LRR3" s="525"/>
      <c r="LRS3" s="525"/>
      <c r="LRT3" s="525"/>
      <c r="LRU3" s="525"/>
      <c r="LRV3" s="525"/>
      <c r="LRW3" s="525"/>
      <c r="LRX3" s="525"/>
      <c r="LRY3" s="525"/>
      <c r="LRZ3" s="525"/>
      <c r="LSA3" s="525"/>
      <c r="LSB3" s="525"/>
      <c r="LSC3" s="525"/>
      <c r="LSD3" s="525"/>
      <c r="LSE3" s="525"/>
      <c r="LSF3" s="525"/>
      <c r="LSG3" s="525"/>
      <c r="LSH3" s="525"/>
      <c r="LSI3" s="525"/>
      <c r="LSJ3" s="525"/>
      <c r="LSK3" s="525"/>
      <c r="LSL3" s="525"/>
      <c r="LSM3" s="525"/>
      <c r="LSN3" s="525"/>
      <c r="LSO3" s="525"/>
      <c r="LSP3" s="525"/>
      <c r="LSQ3" s="525"/>
      <c r="LSR3" s="525"/>
      <c r="LSS3" s="525"/>
      <c r="LST3" s="525"/>
      <c r="LSU3" s="525"/>
      <c r="LSV3" s="525"/>
      <c r="LSW3" s="525"/>
      <c r="LSX3" s="525"/>
      <c r="LSY3" s="525"/>
      <c r="LSZ3" s="525"/>
      <c r="LTA3" s="525"/>
      <c r="LTB3" s="525"/>
      <c r="LTC3" s="525"/>
      <c r="LTD3" s="525"/>
      <c r="LTE3" s="525"/>
      <c r="LTF3" s="525"/>
      <c r="LTG3" s="525"/>
      <c r="LTH3" s="525"/>
      <c r="LTI3" s="525"/>
      <c r="LTJ3" s="525"/>
      <c r="LTK3" s="525"/>
      <c r="LTL3" s="525"/>
      <c r="LTM3" s="525"/>
      <c r="LTN3" s="525"/>
      <c r="LTO3" s="525"/>
      <c r="LTP3" s="525"/>
      <c r="LTQ3" s="525"/>
      <c r="LTR3" s="525"/>
      <c r="LTS3" s="525"/>
      <c r="LTT3" s="525"/>
      <c r="LTU3" s="525"/>
      <c r="LTV3" s="525"/>
      <c r="LTW3" s="525"/>
      <c r="LTX3" s="525"/>
      <c r="LTY3" s="525"/>
      <c r="LTZ3" s="525"/>
      <c r="LUA3" s="525"/>
      <c r="LUB3" s="525"/>
      <c r="LUC3" s="525"/>
      <c r="LUD3" s="525"/>
      <c r="LUE3" s="525"/>
      <c r="LUF3" s="525"/>
      <c r="LUG3" s="525"/>
      <c r="LUH3" s="525"/>
      <c r="LUI3" s="525"/>
      <c r="LUJ3" s="525"/>
      <c r="LUK3" s="525"/>
      <c r="LUL3" s="525"/>
      <c r="LUM3" s="525"/>
      <c r="LUN3" s="525"/>
      <c r="LUO3" s="525"/>
      <c r="LUP3" s="525"/>
      <c r="LUQ3" s="525"/>
      <c r="LUR3" s="525"/>
      <c r="LUS3" s="525"/>
      <c r="LUT3" s="525"/>
      <c r="LUU3" s="525"/>
      <c r="LUV3" s="525"/>
      <c r="LUW3" s="525"/>
      <c r="LUX3" s="525"/>
      <c r="LUY3" s="525"/>
      <c r="LUZ3" s="525"/>
      <c r="LVA3" s="525"/>
      <c r="LVB3" s="525"/>
      <c r="LVC3" s="525"/>
      <c r="LVD3" s="525"/>
      <c r="LVE3" s="525"/>
      <c r="LVF3" s="525"/>
      <c r="LVG3" s="525"/>
      <c r="LVH3" s="525"/>
      <c r="LVI3" s="525"/>
      <c r="LVJ3" s="525"/>
      <c r="LVK3" s="525"/>
      <c r="LVL3" s="525"/>
      <c r="LVM3" s="525"/>
      <c r="LVN3" s="525"/>
      <c r="LVO3" s="525"/>
      <c r="LVP3" s="525"/>
      <c r="LVQ3" s="525"/>
      <c r="LVR3" s="525"/>
      <c r="LVS3" s="525"/>
      <c r="LVT3" s="525"/>
      <c r="LVU3" s="525"/>
      <c r="LVV3" s="525"/>
      <c r="LVW3" s="525"/>
      <c r="LVX3" s="525"/>
      <c r="LVY3" s="525"/>
      <c r="LVZ3" s="525"/>
      <c r="LWA3" s="525"/>
      <c r="LWB3" s="525"/>
      <c r="LWC3" s="525"/>
      <c r="LWD3" s="525"/>
      <c r="LWE3" s="525"/>
      <c r="LWF3" s="525"/>
      <c r="LWG3" s="525"/>
      <c r="LWH3" s="525"/>
      <c r="LWI3" s="525"/>
      <c r="LWJ3" s="525"/>
      <c r="LWK3" s="525"/>
      <c r="LWL3" s="525"/>
      <c r="LWM3" s="525"/>
      <c r="LWN3" s="525"/>
      <c r="LWO3" s="525"/>
      <c r="LWP3" s="525"/>
      <c r="LWQ3" s="525"/>
      <c r="LWR3" s="525"/>
      <c r="LWS3" s="525"/>
      <c r="LWT3" s="525"/>
      <c r="LWU3" s="525"/>
      <c r="LWV3" s="525"/>
      <c r="LWW3" s="525"/>
      <c r="LWX3" s="525"/>
      <c r="LWY3" s="525"/>
      <c r="LWZ3" s="525"/>
      <c r="LXA3" s="525"/>
      <c r="LXB3" s="525"/>
      <c r="LXC3" s="525"/>
      <c r="LXD3" s="525"/>
      <c r="LXE3" s="525"/>
      <c r="LXF3" s="525"/>
      <c r="LXG3" s="525"/>
      <c r="LXH3" s="525"/>
      <c r="LXI3" s="525"/>
      <c r="LXJ3" s="525"/>
      <c r="LXK3" s="525"/>
      <c r="LXL3" s="525"/>
      <c r="LXM3" s="525"/>
      <c r="LXN3" s="525"/>
      <c r="LXO3" s="525"/>
      <c r="LXP3" s="525"/>
      <c r="LXQ3" s="525"/>
      <c r="LXR3" s="525"/>
      <c r="LXS3" s="525"/>
      <c r="LXT3" s="525"/>
      <c r="LXU3" s="525"/>
      <c r="LXV3" s="525"/>
      <c r="LXW3" s="525"/>
      <c r="LXX3" s="525"/>
      <c r="LXY3" s="525"/>
      <c r="LXZ3" s="525"/>
      <c r="LYA3" s="525"/>
      <c r="LYB3" s="525"/>
      <c r="LYC3" s="525"/>
      <c r="LYD3" s="525"/>
      <c r="LYE3" s="525"/>
      <c r="LYF3" s="525"/>
      <c r="LYG3" s="525"/>
      <c r="LYH3" s="525"/>
      <c r="LYI3" s="525"/>
      <c r="LYJ3" s="525"/>
      <c r="LYK3" s="525"/>
      <c r="LYL3" s="525"/>
      <c r="LYM3" s="525"/>
      <c r="LYN3" s="525"/>
      <c r="LYO3" s="525"/>
      <c r="LYP3" s="525"/>
      <c r="LYQ3" s="525"/>
      <c r="LYR3" s="525"/>
      <c r="LYS3" s="525"/>
      <c r="LYT3" s="525"/>
      <c r="LYU3" s="525"/>
      <c r="LYV3" s="525"/>
      <c r="LYW3" s="525"/>
      <c r="LYX3" s="525"/>
      <c r="LYY3" s="525"/>
      <c r="LYZ3" s="525"/>
      <c r="LZA3" s="525"/>
      <c r="LZB3" s="525"/>
      <c r="LZC3" s="525"/>
      <c r="LZD3" s="525"/>
      <c r="LZE3" s="525"/>
      <c r="LZF3" s="525"/>
      <c r="LZG3" s="525"/>
      <c r="LZH3" s="525"/>
      <c r="LZI3" s="525"/>
      <c r="LZJ3" s="525"/>
      <c r="LZK3" s="525"/>
      <c r="LZL3" s="525"/>
      <c r="LZM3" s="525"/>
      <c r="LZN3" s="525"/>
      <c r="LZO3" s="525"/>
      <c r="LZP3" s="525"/>
      <c r="LZQ3" s="525"/>
      <c r="LZR3" s="525"/>
      <c r="LZS3" s="525"/>
      <c r="LZT3" s="525"/>
      <c r="LZU3" s="525"/>
      <c r="LZV3" s="525"/>
      <c r="LZW3" s="525"/>
      <c r="LZX3" s="525"/>
      <c r="LZY3" s="525"/>
      <c r="LZZ3" s="525"/>
      <c r="MAA3" s="525"/>
      <c r="MAB3" s="525"/>
      <c r="MAC3" s="525"/>
      <c r="MAD3" s="525"/>
      <c r="MAE3" s="525"/>
      <c r="MAF3" s="525"/>
      <c r="MAG3" s="525"/>
      <c r="MAH3" s="525"/>
      <c r="MAI3" s="525"/>
      <c r="MAJ3" s="525"/>
      <c r="MAK3" s="525"/>
      <c r="MAL3" s="525"/>
      <c r="MAM3" s="525"/>
      <c r="MAN3" s="525"/>
      <c r="MAO3" s="525"/>
      <c r="MAP3" s="525"/>
      <c r="MAQ3" s="525"/>
      <c r="MAR3" s="525"/>
      <c r="MAS3" s="525"/>
      <c r="MAT3" s="525"/>
      <c r="MAU3" s="525"/>
      <c r="MAV3" s="525"/>
      <c r="MAW3" s="525"/>
      <c r="MAX3" s="525"/>
      <c r="MAY3" s="525"/>
      <c r="MAZ3" s="525"/>
      <c r="MBA3" s="525"/>
      <c r="MBB3" s="525"/>
      <c r="MBC3" s="525"/>
      <c r="MBD3" s="525"/>
      <c r="MBE3" s="525"/>
      <c r="MBF3" s="525"/>
      <c r="MBG3" s="525"/>
      <c r="MBH3" s="525"/>
      <c r="MBI3" s="525"/>
      <c r="MBJ3" s="525"/>
      <c r="MBK3" s="525"/>
      <c r="MBL3" s="525"/>
      <c r="MBM3" s="525"/>
      <c r="MBN3" s="525"/>
      <c r="MBO3" s="525"/>
      <c r="MBP3" s="525"/>
      <c r="MBQ3" s="525"/>
      <c r="MBR3" s="525"/>
      <c r="MBS3" s="525"/>
      <c r="MBT3" s="525"/>
      <c r="MBU3" s="525"/>
      <c r="MBV3" s="525"/>
      <c r="MBW3" s="525"/>
      <c r="MBX3" s="525"/>
      <c r="MBY3" s="525"/>
      <c r="MBZ3" s="525"/>
      <c r="MCA3" s="525"/>
      <c r="MCB3" s="525"/>
      <c r="MCC3" s="525"/>
      <c r="MCD3" s="525"/>
      <c r="MCE3" s="525"/>
      <c r="MCF3" s="525"/>
      <c r="MCG3" s="525"/>
      <c r="MCH3" s="525"/>
      <c r="MCI3" s="525"/>
      <c r="MCJ3" s="525"/>
      <c r="MCK3" s="525"/>
      <c r="MCL3" s="525"/>
      <c r="MCM3" s="525"/>
      <c r="MCN3" s="525"/>
      <c r="MCO3" s="525"/>
      <c r="MCP3" s="525"/>
      <c r="MCQ3" s="525"/>
      <c r="MCR3" s="525"/>
      <c r="MCS3" s="525"/>
      <c r="MCT3" s="525"/>
      <c r="MCU3" s="525"/>
      <c r="MCV3" s="525"/>
      <c r="MCW3" s="525"/>
      <c r="MCX3" s="525"/>
      <c r="MCY3" s="525"/>
      <c r="MCZ3" s="525"/>
      <c r="MDA3" s="525"/>
      <c r="MDB3" s="525"/>
      <c r="MDC3" s="525"/>
      <c r="MDD3" s="525"/>
      <c r="MDE3" s="525"/>
      <c r="MDF3" s="525"/>
      <c r="MDG3" s="525"/>
      <c r="MDH3" s="525"/>
      <c r="MDI3" s="525"/>
      <c r="MDJ3" s="525"/>
      <c r="MDK3" s="525"/>
      <c r="MDL3" s="525"/>
      <c r="MDM3" s="525"/>
      <c r="MDN3" s="525"/>
      <c r="MDO3" s="525"/>
      <c r="MDP3" s="525"/>
      <c r="MDQ3" s="525"/>
      <c r="MDR3" s="525"/>
      <c r="MDS3" s="525"/>
      <c r="MDT3" s="525"/>
      <c r="MDU3" s="525"/>
      <c r="MDV3" s="525"/>
      <c r="MDW3" s="525"/>
      <c r="MDX3" s="525"/>
      <c r="MDY3" s="525"/>
      <c r="MDZ3" s="525"/>
      <c r="MEA3" s="525"/>
      <c r="MEB3" s="525"/>
      <c r="MEC3" s="525"/>
      <c r="MED3" s="525"/>
      <c r="MEE3" s="525"/>
      <c r="MEF3" s="525"/>
      <c r="MEG3" s="525"/>
      <c r="MEH3" s="525"/>
      <c r="MEI3" s="525"/>
      <c r="MEJ3" s="525"/>
      <c r="MEK3" s="525"/>
      <c r="MEL3" s="525"/>
      <c r="MEM3" s="525"/>
      <c r="MEN3" s="525"/>
      <c r="MEO3" s="525"/>
      <c r="MEP3" s="525"/>
      <c r="MEQ3" s="525"/>
      <c r="MER3" s="525"/>
      <c r="MES3" s="525"/>
      <c r="MET3" s="525"/>
      <c r="MEU3" s="525"/>
      <c r="MEV3" s="525"/>
      <c r="MEW3" s="525"/>
      <c r="MEX3" s="525"/>
      <c r="MEY3" s="525"/>
      <c r="MEZ3" s="525"/>
      <c r="MFA3" s="525"/>
      <c r="MFB3" s="525"/>
      <c r="MFC3" s="525"/>
      <c r="MFD3" s="525"/>
      <c r="MFE3" s="525"/>
      <c r="MFF3" s="525"/>
      <c r="MFG3" s="525"/>
      <c r="MFH3" s="525"/>
      <c r="MFI3" s="525"/>
      <c r="MFJ3" s="525"/>
      <c r="MFK3" s="525"/>
      <c r="MFL3" s="525"/>
      <c r="MFM3" s="525"/>
      <c r="MFN3" s="525"/>
      <c r="MFO3" s="525"/>
      <c r="MFP3" s="525"/>
      <c r="MFQ3" s="525"/>
      <c r="MFR3" s="525"/>
      <c r="MFS3" s="525"/>
      <c r="MFT3" s="525"/>
      <c r="MFU3" s="525"/>
      <c r="MFV3" s="525"/>
      <c r="MFW3" s="525"/>
      <c r="MFX3" s="525"/>
      <c r="MFY3" s="525"/>
      <c r="MFZ3" s="525"/>
      <c r="MGA3" s="525"/>
      <c r="MGB3" s="525"/>
      <c r="MGC3" s="525"/>
      <c r="MGD3" s="525"/>
      <c r="MGE3" s="525"/>
      <c r="MGF3" s="525"/>
      <c r="MGG3" s="525"/>
      <c r="MGH3" s="525"/>
      <c r="MGI3" s="525"/>
      <c r="MGJ3" s="525"/>
      <c r="MGK3" s="525"/>
      <c r="MGL3" s="525"/>
      <c r="MGM3" s="525"/>
      <c r="MGN3" s="525"/>
      <c r="MGO3" s="525"/>
      <c r="MGP3" s="525"/>
      <c r="MGQ3" s="525"/>
      <c r="MGR3" s="525"/>
      <c r="MGS3" s="525"/>
      <c r="MGT3" s="525"/>
      <c r="MGU3" s="525"/>
      <c r="MGV3" s="525"/>
      <c r="MGW3" s="525"/>
      <c r="MGX3" s="525"/>
      <c r="MGY3" s="525"/>
      <c r="MGZ3" s="525"/>
      <c r="MHA3" s="525"/>
      <c r="MHB3" s="525"/>
      <c r="MHC3" s="525"/>
      <c r="MHD3" s="525"/>
      <c r="MHE3" s="525"/>
      <c r="MHF3" s="525"/>
      <c r="MHG3" s="525"/>
      <c r="MHH3" s="525"/>
      <c r="MHI3" s="525"/>
      <c r="MHJ3" s="525"/>
      <c r="MHK3" s="525"/>
      <c r="MHL3" s="525"/>
      <c r="MHM3" s="525"/>
      <c r="MHN3" s="525"/>
      <c r="MHO3" s="525"/>
      <c r="MHP3" s="525"/>
      <c r="MHQ3" s="525"/>
      <c r="MHR3" s="525"/>
      <c r="MHS3" s="525"/>
      <c r="MHT3" s="525"/>
      <c r="MHU3" s="525"/>
      <c r="MHV3" s="525"/>
      <c r="MHW3" s="525"/>
      <c r="MHX3" s="525"/>
      <c r="MHY3" s="525"/>
      <c r="MHZ3" s="525"/>
      <c r="MIA3" s="525"/>
      <c r="MIB3" s="525"/>
      <c r="MIC3" s="525"/>
      <c r="MID3" s="525"/>
      <c r="MIE3" s="525"/>
      <c r="MIF3" s="525"/>
      <c r="MIG3" s="525"/>
      <c r="MIH3" s="525"/>
      <c r="MII3" s="525"/>
      <c r="MIJ3" s="525"/>
      <c r="MIK3" s="525"/>
      <c r="MIL3" s="525"/>
      <c r="MIM3" s="525"/>
      <c r="MIN3" s="525"/>
      <c r="MIO3" s="525"/>
      <c r="MIP3" s="525"/>
      <c r="MIQ3" s="525"/>
      <c r="MIR3" s="525"/>
      <c r="MIS3" s="525"/>
      <c r="MIT3" s="525"/>
      <c r="MIU3" s="525"/>
      <c r="MIV3" s="525"/>
      <c r="MIW3" s="525"/>
      <c r="MIX3" s="525"/>
      <c r="MIY3" s="525"/>
      <c r="MIZ3" s="525"/>
      <c r="MJA3" s="525"/>
      <c r="MJB3" s="525"/>
      <c r="MJC3" s="525"/>
      <c r="MJD3" s="525"/>
      <c r="MJE3" s="525"/>
      <c r="MJF3" s="525"/>
      <c r="MJG3" s="525"/>
      <c r="MJH3" s="525"/>
      <c r="MJI3" s="525"/>
      <c r="MJJ3" s="525"/>
      <c r="MJK3" s="525"/>
      <c r="MJL3" s="525"/>
      <c r="MJM3" s="525"/>
      <c r="MJN3" s="525"/>
      <c r="MJO3" s="525"/>
      <c r="MJP3" s="525"/>
      <c r="MJQ3" s="525"/>
      <c r="MJR3" s="525"/>
      <c r="MJS3" s="525"/>
      <c r="MJT3" s="525"/>
      <c r="MJU3" s="525"/>
      <c r="MJV3" s="525"/>
      <c r="MJW3" s="525"/>
      <c r="MJX3" s="525"/>
      <c r="MJY3" s="525"/>
      <c r="MJZ3" s="525"/>
      <c r="MKA3" s="525"/>
      <c r="MKB3" s="525"/>
      <c r="MKC3" s="525"/>
      <c r="MKD3" s="525"/>
      <c r="MKE3" s="525"/>
      <c r="MKF3" s="525"/>
      <c r="MKG3" s="525"/>
      <c r="MKH3" s="525"/>
      <c r="MKI3" s="525"/>
      <c r="MKJ3" s="525"/>
      <c r="MKK3" s="525"/>
      <c r="MKL3" s="525"/>
      <c r="MKM3" s="525"/>
      <c r="MKN3" s="525"/>
      <c r="MKO3" s="525"/>
      <c r="MKP3" s="525"/>
      <c r="MKQ3" s="525"/>
      <c r="MKR3" s="525"/>
      <c r="MKS3" s="525"/>
      <c r="MKT3" s="525"/>
      <c r="MKU3" s="525"/>
      <c r="MKV3" s="525"/>
      <c r="MKW3" s="525"/>
      <c r="MKX3" s="525"/>
      <c r="MKY3" s="525"/>
      <c r="MKZ3" s="525"/>
      <c r="MLA3" s="525"/>
      <c r="MLB3" s="525"/>
      <c r="MLC3" s="525"/>
      <c r="MLD3" s="525"/>
      <c r="MLE3" s="525"/>
      <c r="MLF3" s="525"/>
      <c r="MLG3" s="525"/>
      <c r="MLH3" s="525"/>
      <c r="MLI3" s="525"/>
      <c r="MLJ3" s="525"/>
      <c r="MLK3" s="525"/>
      <c r="MLL3" s="525"/>
      <c r="MLM3" s="525"/>
      <c r="MLN3" s="525"/>
      <c r="MLO3" s="525"/>
      <c r="MLP3" s="525"/>
      <c r="MLQ3" s="525"/>
      <c r="MLR3" s="525"/>
      <c r="MLS3" s="525"/>
      <c r="MLT3" s="525"/>
      <c r="MLU3" s="525"/>
      <c r="MLV3" s="525"/>
      <c r="MLW3" s="525"/>
      <c r="MLX3" s="525"/>
      <c r="MLY3" s="525"/>
      <c r="MLZ3" s="525"/>
      <c r="MMA3" s="525"/>
      <c r="MMB3" s="525"/>
      <c r="MMC3" s="525"/>
      <c r="MMD3" s="525"/>
      <c r="MME3" s="525"/>
      <c r="MMF3" s="525"/>
      <c r="MMG3" s="525"/>
      <c r="MMH3" s="525"/>
      <c r="MMI3" s="525"/>
      <c r="MMJ3" s="525"/>
      <c r="MMK3" s="525"/>
      <c r="MML3" s="525"/>
      <c r="MMM3" s="525"/>
      <c r="MMN3" s="525"/>
      <c r="MMO3" s="525"/>
      <c r="MMP3" s="525"/>
      <c r="MMQ3" s="525"/>
      <c r="MMR3" s="525"/>
      <c r="MMS3" s="525"/>
      <c r="MMT3" s="525"/>
      <c r="MMU3" s="525"/>
      <c r="MMV3" s="525"/>
      <c r="MMW3" s="525"/>
      <c r="MMX3" s="525"/>
      <c r="MMY3" s="525"/>
      <c r="MMZ3" s="525"/>
      <c r="MNA3" s="525"/>
      <c r="MNB3" s="525"/>
      <c r="MNC3" s="525"/>
      <c r="MND3" s="525"/>
      <c r="MNE3" s="525"/>
      <c r="MNF3" s="525"/>
      <c r="MNG3" s="525"/>
      <c r="MNH3" s="525"/>
      <c r="MNI3" s="525"/>
      <c r="MNJ3" s="525"/>
      <c r="MNK3" s="525"/>
      <c r="MNL3" s="525"/>
      <c r="MNM3" s="525"/>
      <c r="MNN3" s="525"/>
      <c r="MNO3" s="525"/>
      <c r="MNP3" s="525"/>
      <c r="MNQ3" s="525"/>
      <c r="MNR3" s="525"/>
      <c r="MNS3" s="525"/>
      <c r="MNT3" s="525"/>
      <c r="MNU3" s="525"/>
      <c r="MNV3" s="525"/>
      <c r="MNW3" s="525"/>
      <c r="MNX3" s="525"/>
      <c r="MNY3" s="525"/>
      <c r="MNZ3" s="525"/>
      <c r="MOA3" s="525"/>
      <c r="MOB3" s="525"/>
      <c r="MOC3" s="525"/>
      <c r="MOD3" s="525"/>
      <c r="MOE3" s="525"/>
      <c r="MOF3" s="525"/>
      <c r="MOG3" s="525"/>
      <c r="MOH3" s="525"/>
      <c r="MOI3" s="525"/>
      <c r="MOJ3" s="525"/>
      <c r="MOK3" s="525"/>
      <c r="MOL3" s="525"/>
      <c r="MOM3" s="525"/>
      <c r="MON3" s="525"/>
      <c r="MOO3" s="525"/>
      <c r="MOP3" s="525"/>
      <c r="MOQ3" s="525"/>
      <c r="MOR3" s="525"/>
      <c r="MOS3" s="525"/>
      <c r="MOT3" s="525"/>
      <c r="MOU3" s="525"/>
      <c r="MOV3" s="525"/>
      <c r="MOW3" s="525"/>
      <c r="MOX3" s="525"/>
      <c r="MOY3" s="525"/>
      <c r="MOZ3" s="525"/>
      <c r="MPA3" s="525"/>
      <c r="MPB3" s="525"/>
      <c r="MPC3" s="525"/>
      <c r="MPD3" s="525"/>
      <c r="MPE3" s="525"/>
      <c r="MPF3" s="525"/>
      <c r="MPG3" s="525"/>
      <c r="MPH3" s="525"/>
      <c r="MPI3" s="525"/>
      <c r="MPJ3" s="525"/>
      <c r="MPK3" s="525"/>
      <c r="MPL3" s="525"/>
      <c r="MPM3" s="525"/>
      <c r="MPN3" s="525"/>
      <c r="MPO3" s="525"/>
      <c r="MPP3" s="525"/>
      <c r="MPQ3" s="525"/>
      <c r="MPR3" s="525"/>
      <c r="MPS3" s="525"/>
      <c r="MPT3" s="525"/>
      <c r="MPU3" s="525"/>
      <c r="MPV3" s="525"/>
      <c r="MPW3" s="525"/>
      <c r="MPX3" s="525"/>
      <c r="MPY3" s="525"/>
      <c r="MPZ3" s="525"/>
      <c r="MQA3" s="525"/>
      <c r="MQB3" s="525"/>
      <c r="MQC3" s="525"/>
      <c r="MQD3" s="525"/>
      <c r="MQE3" s="525"/>
      <c r="MQF3" s="525"/>
      <c r="MQG3" s="525"/>
      <c r="MQH3" s="525"/>
      <c r="MQI3" s="525"/>
      <c r="MQJ3" s="525"/>
      <c r="MQK3" s="525"/>
      <c r="MQL3" s="525"/>
      <c r="MQM3" s="525"/>
      <c r="MQN3" s="525"/>
      <c r="MQO3" s="525"/>
      <c r="MQP3" s="525"/>
      <c r="MQQ3" s="525"/>
      <c r="MQR3" s="525"/>
      <c r="MQS3" s="525"/>
      <c r="MQT3" s="525"/>
      <c r="MQU3" s="525"/>
      <c r="MQV3" s="525"/>
      <c r="MQW3" s="525"/>
      <c r="MQX3" s="525"/>
      <c r="MQY3" s="525"/>
      <c r="MQZ3" s="525"/>
      <c r="MRA3" s="525"/>
      <c r="MRB3" s="525"/>
      <c r="MRC3" s="525"/>
      <c r="MRD3" s="525"/>
      <c r="MRE3" s="525"/>
      <c r="MRF3" s="525"/>
      <c r="MRG3" s="525"/>
      <c r="MRH3" s="525"/>
      <c r="MRI3" s="525"/>
      <c r="MRJ3" s="525"/>
      <c r="MRK3" s="525"/>
      <c r="MRL3" s="525"/>
      <c r="MRM3" s="525"/>
      <c r="MRN3" s="525"/>
      <c r="MRO3" s="525"/>
      <c r="MRP3" s="525"/>
      <c r="MRQ3" s="525"/>
      <c r="MRR3" s="525"/>
      <c r="MRS3" s="525"/>
      <c r="MRT3" s="525"/>
      <c r="MRU3" s="525"/>
      <c r="MRV3" s="525"/>
      <c r="MRW3" s="525"/>
      <c r="MRX3" s="525"/>
      <c r="MRY3" s="525"/>
      <c r="MRZ3" s="525"/>
      <c r="MSA3" s="525"/>
      <c r="MSB3" s="525"/>
      <c r="MSC3" s="525"/>
      <c r="MSD3" s="525"/>
      <c r="MSE3" s="525"/>
      <c r="MSF3" s="525"/>
      <c r="MSG3" s="525"/>
      <c r="MSH3" s="525"/>
      <c r="MSI3" s="525"/>
      <c r="MSJ3" s="525"/>
      <c r="MSK3" s="525"/>
      <c r="MSL3" s="525"/>
      <c r="MSM3" s="525"/>
      <c r="MSN3" s="525"/>
      <c r="MSO3" s="525"/>
      <c r="MSP3" s="525"/>
      <c r="MSQ3" s="525"/>
      <c r="MSR3" s="525"/>
      <c r="MSS3" s="525"/>
      <c r="MST3" s="525"/>
      <c r="MSU3" s="525"/>
      <c r="MSV3" s="525"/>
      <c r="MSW3" s="525"/>
      <c r="MSX3" s="525"/>
      <c r="MSY3" s="525"/>
      <c r="MSZ3" s="525"/>
      <c r="MTA3" s="525"/>
      <c r="MTB3" s="525"/>
      <c r="MTC3" s="525"/>
      <c r="MTD3" s="525"/>
      <c r="MTE3" s="525"/>
      <c r="MTF3" s="525"/>
      <c r="MTG3" s="525"/>
      <c r="MTH3" s="525"/>
      <c r="MTI3" s="525"/>
      <c r="MTJ3" s="525"/>
      <c r="MTK3" s="525"/>
      <c r="MTL3" s="525"/>
      <c r="MTM3" s="525"/>
      <c r="MTN3" s="525"/>
      <c r="MTO3" s="525"/>
      <c r="MTP3" s="525"/>
      <c r="MTQ3" s="525"/>
      <c r="MTR3" s="525"/>
      <c r="MTS3" s="525"/>
      <c r="MTT3" s="525"/>
      <c r="MTU3" s="525"/>
      <c r="MTV3" s="525"/>
      <c r="MTW3" s="525"/>
      <c r="MTX3" s="525"/>
      <c r="MTY3" s="525"/>
      <c r="MTZ3" s="525"/>
      <c r="MUA3" s="525"/>
      <c r="MUB3" s="525"/>
      <c r="MUC3" s="525"/>
      <c r="MUD3" s="525"/>
      <c r="MUE3" s="525"/>
      <c r="MUF3" s="525"/>
      <c r="MUG3" s="525"/>
      <c r="MUH3" s="525"/>
      <c r="MUI3" s="525"/>
      <c r="MUJ3" s="525"/>
      <c r="MUK3" s="525"/>
      <c r="MUL3" s="525"/>
      <c r="MUM3" s="525"/>
      <c r="MUN3" s="525"/>
      <c r="MUO3" s="525"/>
      <c r="MUP3" s="525"/>
      <c r="MUQ3" s="525"/>
      <c r="MUR3" s="525"/>
      <c r="MUS3" s="525"/>
      <c r="MUT3" s="525"/>
      <c r="MUU3" s="525"/>
      <c r="MUV3" s="525"/>
      <c r="MUW3" s="525"/>
      <c r="MUX3" s="525"/>
      <c r="MUY3" s="525"/>
      <c r="MUZ3" s="525"/>
      <c r="MVA3" s="525"/>
      <c r="MVB3" s="525"/>
      <c r="MVC3" s="525"/>
      <c r="MVD3" s="525"/>
      <c r="MVE3" s="525"/>
      <c r="MVF3" s="525"/>
      <c r="MVG3" s="525"/>
      <c r="MVH3" s="525"/>
      <c r="MVI3" s="525"/>
      <c r="MVJ3" s="525"/>
      <c r="MVK3" s="525"/>
      <c r="MVL3" s="525"/>
      <c r="MVM3" s="525"/>
      <c r="MVN3" s="525"/>
      <c r="MVO3" s="525"/>
      <c r="MVP3" s="525"/>
      <c r="MVQ3" s="525"/>
      <c r="MVR3" s="525"/>
      <c r="MVS3" s="525"/>
      <c r="MVT3" s="525"/>
      <c r="MVU3" s="525"/>
      <c r="MVV3" s="525"/>
      <c r="MVW3" s="525"/>
      <c r="MVX3" s="525"/>
      <c r="MVY3" s="525"/>
      <c r="MVZ3" s="525"/>
      <c r="MWA3" s="525"/>
      <c r="MWB3" s="525"/>
      <c r="MWC3" s="525"/>
      <c r="MWD3" s="525"/>
      <c r="MWE3" s="525"/>
      <c r="MWF3" s="525"/>
      <c r="MWG3" s="525"/>
      <c r="MWH3" s="525"/>
      <c r="MWI3" s="525"/>
      <c r="MWJ3" s="525"/>
      <c r="MWK3" s="525"/>
      <c r="MWL3" s="525"/>
      <c r="MWM3" s="525"/>
      <c r="MWN3" s="525"/>
      <c r="MWO3" s="525"/>
      <c r="MWP3" s="525"/>
      <c r="MWQ3" s="525"/>
      <c r="MWR3" s="525"/>
      <c r="MWS3" s="525"/>
      <c r="MWT3" s="525"/>
      <c r="MWU3" s="525"/>
      <c r="MWV3" s="525"/>
      <c r="MWW3" s="525"/>
      <c r="MWX3" s="525"/>
      <c r="MWY3" s="525"/>
      <c r="MWZ3" s="525"/>
      <c r="MXA3" s="525"/>
      <c r="MXB3" s="525"/>
      <c r="MXC3" s="525"/>
      <c r="MXD3" s="525"/>
      <c r="MXE3" s="525"/>
      <c r="MXF3" s="525"/>
      <c r="MXG3" s="525"/>
      <c r="MXH3" s="525"/>
      <c r="MXI3" s="525"/>
      <c r="MXJ3" s="525"/>
      <c r="MXK3" s="525"/>
      <c r="MXL3" s="525"/>
      <c r="MXM3" s="525"/>
      <c r="MXN3" s="525"/>
      <c r="MXO3" s="525"/>
      <c r="MXP3" s="525"/>
      <c r="MXQ3" s="525"/>
      <c r="MXR3" s="525"/>
      <c r="MXS3" s="525"/>
      <c r="MXT3" s="525"/>
      <c r="MXU3" s="525"/>
      <c r="MXV3" s="525"/>
      <c r="MXW3" s="525"/>
      <c r="MXX3" s="525"/>
      <c r="MXY3" s="525"/>
      <c r="MXZ3" s="525"/>
      <c r="MYA3" s="525"/>
      <c r="MYB3" s="525"/>
      <c r="MYC3" s="525"/>
      <c r="MYD3" s="525"/>
      <c r="MYE3" s="525"/>
      <c r="MYF3" s="525"/>
      <c r="MYG3" s="525"/>
      <c r="MYH3" s="525"/>
      <c r="MYI3" s="525"/>
      <c r="MYJ3" s="525"/>
      <c r="MYK3" s="525"/>
      <c r="MYL3" s="525"/>
      <c r="MYM3" s="525"/>
      <c r="MYN3" s="525"/>
      <c r="MYO3" s="525"/>
      <c r="MYP3" s="525"/>
      <c r="MYQ3" s="525"/>
      <c r="MYR3" s="525"/>
      <c r="MYS3" s="525"/>
      <c r="MYT3" s="525"/>
      <c r="MYU3" s="525"/>
      <c r="MYV3" s="525"/>
      <c r="MYW3" s="525"/>
      <c r="MYX3" s="525"/>
      <c r="MYY3" s="525"/>
      <c r="MYZ3" s="525"/>
      <c r="MZA3" s="525"/>
      <c r="MZB3" s="525"/>
      <c r="MZC3" s="525"/>
      <c r="MZD3" s="525"/>
      <c r="MZE3" s="525"/>
      <c r="MZF3" s="525"/>
      <c r="MZG3" s="525"/>
      <c r="MZH3" s="525"/>
      <c r="MZI3" s="525"/>
      <c r="MZJ3" s="525"/>
      <c r="MZK3" s="525"/>
      <c r="MZL3" s="525"/>
      <c r="MZM3" s="525"/>
      <c r="MZN3" s="525"/>
      <c r="MZO3" s="525"/>
      <c r="MZP3" s="525"/>
      <c r="MZQ3" s="525"/>
      <c r="MZR3" s="525"/>
      <c r="MZS3" s="525"/>
      <c r="MZT3" s="525"/>
      <c r="MZU3" s="525"/>
      <c r="MZV3" s="525"/>
      <c r="MZW3" s="525"/>
      <c r="MZX3" s="525"/>
      <c r="MZY3" s="525"/>
      <c r="MZZ3" s="525"/>
      <c r="NAA3" s="525"/>
      <c r="NAB3" s="525"/>
      <c r="NAC3" s="525"/>
      <c r="NAD3" s="525"/>
      <c r="NAE3" s="525"/>
      <c r="NAF3" s="525"/>
      <c r="NAG3" s="525"/>
      <c r="NAH3" s="525"/>
      <c r="NAI3" s="525"/>
      <c r="NAJ3" s="525"/>
      <c r="NAK3" s="525"/>
      <c r="NAL3" s="525"/>
      <c r="NAM3" s="525"/>
      <c r="NAN3" s="525"/>
      <c r="NAO3" s="525"/>
      <c r="NAP3" s="525"/>
      <c r="NAQ3" s="525"/>
      <c r="NAR3" s="525"/>
      <c r="NAS3" s="525"/>
      <c r="NAT3" s="525"/>
      <c r="NAU3" s="525"/>
      <c r="NAV3" s="525"/>
      <c r="NAW3" s="525"/>
      <c r="NAX3" s="525"/>
      <c r="NAY3" s="525"/>
      <c r="NAZ3" s="525"/>
      <c r="NBA3" s="525"/>
      <c r="NBB3" s="525"/>
      <c r="NBC3" s="525"/>
      <c r="NBD3" s="525"/>
      <c r="NBE3" s="525"/>
      <c r="NBF3" s="525"/>
      <c r="NBG3" s="525"/>
      <c r="NBH3" s="525"/>
      <c r="NBI3" s="525"/>
      <c r="NBJ3" s="525"/>
      <c r="NBK3" s="525"/>
      <c r="NBL3" s="525"/>
      <c r="NBM3" s="525"/>
      <c r="NBN3" s="525"/>
      <c r="NBO3" s="525"/>
      <c r="NBP3" s="525"/>
      <c r="NBQ3" s="525"/>
      <c r="NBR3" s="525"/>
      <c r="NBS3" s="525"/>
      <c r="NBT3" s="525"/>
      <c r="NBU3" s="525"/>
      <c r="NBV3" s="525"/>
      <c r="NBW3" s="525"/>
      <c r="NBX3" s="525"/>
      <c r="NBY3" s="525"/>
      <c r="NBZ3" s="525"/>
      <c r="NCA3" s="525"/>
      <c r="NCB3" s="525"/>
      <c r="NCC3" s="525"/>
      <c r="NCD3" s="525"/>
      <c r="NCE3" s="525"/>
      <c r="NCF3" s="525"/>
      <c r="NCG3" s="525"/>
      <c r="NCH3" s="525"/>
      <c r="NCI3" s="525"/>
      <c r="NCJ3" s="525"/>
      <c r="NCK3" s="525"/>
      <c r="NCL3" s="525"/>
      <c r="NCM3" s="525"/>
      <c r="NCN3" s="525"/>
      <c r="NCO3" s="525"/>
      <c r="NCP3" s="525"/>
      <c r="NCQ3" s="525"/>
      <c r="NCR3" s="525"/>
      <c r="NCS3" s="525"/>
      <c r="NCT3" s="525"/>
      <c r="NCU3" s="525"/>
      <c r="NCV3" s="525"/>
      <c r="NCW3" s="525"/>
      <c r="NCX3" s="525"/>
      <c r="NCY3" s="525"/>
      <c r="NCZ3" s="525"/>
      <c r="NDA3" s="525"/>
      <c r="NDB3" s="525"/>
      <c r="NDC3" s="525"/>
      <c r="NDD3" s="525"/>
      <c r="NDE3" s="525"/>
      <c r="NDF3" s="525"/>
      <c r="NDG3" s="525"/>
      <c r="NDH3" s="525"/>
      <c r="NDI3" s="525"/>
      <c r="NDJ3" s="525"/>
      <c r="NDK3" s="525"/>
      <c r="NDL3" s="525"/>
      <c r="NDM3" s="525"/>
      <c r="NDN3" s="525"/>
      <c r="NDO3" s="525"/>
      <c r="NDP3" s="525"/>
      <c r="NDQ3" s="525"/>
      <c r="NDR3" s="525"/>
      <c r="NDS3" s="525"/>
      <c r="NDT3" s="525"/>
      <c r="NDU3" s="525"/>
      <c r="NDV3" s="525"/>
      <c r="NDW3" s="525"/>
      <c r="NDX3" s="525"/>
      <c r="NDY3" s="525"/>
      <c r="NDZ3" s="525"/>
      <c r="NEA3" s="525"/>
      <c r="NEB3" s="525"/>
      <c r="NEC3" s="525"/>
      <c r="NED3" s="525"/>
      <c r="NEE3" s="525"/>
      <c r="NEF3" s="525"/>
      <c r="NEG3" s="525"/>
      <c r="NEH3" s="525"/>
      <c r="NEI3" s="525"/>
      <c r="NEJ3" s="525"/>
      <c r="NEK3" s="525"/>
      <c r="NEL3" s="525"/>
      <c r="NEM3" s="525"/>
      <c r="NEN3" s="525"/>
      <c r="NEO3" s="525"/>
      <c r="NEP3" s="525"/>
      <c r="NEQ3" s="525"/>
      <c r="NER3" s="525"/>
      <c r="NES3" s="525"/>
      <c r="NET3" s="525"/>
      <c r="NEU3" s="525"/>
      <c r="NEV3" s="525"/>
      <c r="NEW3" s="525"/>
      <c r="NEX3" s="525"/>
      <c r="NEY3" s="525"/>
      <c r="NEZ3" s="525"/>
      <c r="NFA3" s="525"/>
      <c r="NFB3" s="525"/>
      <c r="NFC3" s="525"/>
      <c r="NFD3" s="525"/>
      <c r="NFE3" s="525"/>
      <c r="NFF3" s="525"/>
      <c r="NFG3" s="525"/>
      <c r="NFH3" s="525"/>
      <c r="NFI3" s="525"/>
      <c r="NFJ3" s="525"/>
      <c r="NFK3" s="525"/>
      <c r="NFL3" s="525"/>
      <c r="NFM3" s="525"/>
      <c r="NFN3" s="525"/>
      <c r="NFO3" s="525"/>
      <c r="NFP3" s="525"/>
      <c r="NFQ3" s="525"/>
      <c r="NFR3" s="525"/>
      <c r="NFS3" s="525"/>
      <c r="NFT3" s="525"/>
      <c r="NFU3" s="525"/>
      <c r="NFV3" s="525"/>
      <c r="NFW3" s="525"/>
      <c r="NFX3" s="525"/>
      <c r="NFY3" s="525"/>
      <c r="NFZ3" s="525"/>
      <c r="NGA3" s="525"/>
      <c r="NGB3" s="525"/>
      <c r="NGC3" s="525"/>
      <c r="NGD3" s="525"/>
      <c r="NGE3" s="525"/>
      <c r="NGF3" s="525"/>
      <c r="NGG3" s="525"/>
      <c r="NGH3" s="525"/>
      <c r="NGI3" s="525"/>
      <c r="NGJ3" s="525"/>
      <c r="NGK3" s="525"/>
      <c r="NGL3" s="525"/>
      <c r="NGM3" s="525"/>
      <c r="NGN3" s="525"/>
      <c r="NGO3" s="525"/>
      <c r="NGP3" s="525"/>
      <c r="NGQ3" s="525"/>
      <c r="NGR3" s="525"/>
      <c r="NGS3" s="525"/>
      <c r="NGT3" s="525"/>
      <c r="NGU3" s="525"/>
      <c r="NGV3" s="525"/>
      <c r="NGW3" s="525"/>
      <c r="NGX3" s="525"/>
      <c r="NGY3" s="525"/>
      <c r="NGZ3" s="525"/>
      <c r="NHA3" s="525"/>
      <c r="NHB3" s="525"/>
      <c r="NHC3" s="525"/>
      <c r="NHD3" s="525"/>
      <c r="NHE3" s="525"/>
      <c r="NHF3" s="525"/>
      <c r="NHG3" s="525"/>
      <c r="NHH3" s="525"/>
      <c r="NHI3" s="525"/>
      <c r="NHJ3" s="525"/>
      <c r="NHK3" s="525"/>
      <c r="NHL3" s="525"/>
      <c r="NHM3" s="525"/>
      <c r="NHN3" s="525"/>
      <c r="NHO3" s="525"/>
      <c r="NHP3" s="525"/>
      <c r="NHQ3" s="525"/>
      <c r="NHR3" s="525"/>
      <c r="NHS3" s="525"/>
      <c r="NHT3" s="525"/>
      <c r="NHU3" s="525"/>
      <c r="NHV3" s="525"/>
      <c r="NHW3" s="525"/>
      <c r="NHX3" s="525"/>
      <c r="NHY3" s="525"/>
      <c r="NHZ3" s="525"/>
      <c r="NIA3" s="525"/>
      <c r="NIB3" s="525"/>
      <c r="NIC3" s="525"/>
      <c r="NID3" s="525"/>
      <c r="NIE3" s="525"/>
      <c r="NIF3" s="525"/>
      <c r="NIG3" s="525"/>
      <c r="NIH3" s="525"/>
      <c r="NII3" s="525"/>
      <c r="NIJ3" s="525"/>
      <c r="NIK3" s="525"/>
      <c r="NIL3" s="525"/>
      <c r="NIM3" s="525"/>
      <c r="NIN3" s="525"/>
      <c r="NIO3" s="525"/>
      <c r="NIP3" s="525"/>
      <c r="NIQ3" s="525"/>
      <c r="NIR3" s="525"/>
      <c r="NIS3" s="525"/>
      <c r="NIT3" s="525"/>
      <c r="NIU3" s="525"/>
      <c r="NIV3" s="525"/>
      <c r="NIW3" s="525"/>
      <c r="NIX3" s="525"/>
      <c r="NIY3" s="525"/>
      <c r="NIZ3" s="525"/>
      <c r="NJA3" s="525"/>
      <c r="NJB3" s="525"/>
      <c r="NJC3" s="525"/>
      <c r="NJD3" s="525"/>
      <c r="NJE3" s="525"/>
      <c r="NJF3" s="525"/>
      <c r="NJG3" s="525"/>
      <c r="NJH3" s="525"/>
      <c r="NJI3" s="525"/>
      <c r="NJJ3" s="525"/>
      <c r="NJK3" s="525"/>
      <c r="NJL3" s="525"/>
      <c r="NJM3" s="525"/>
      <c r="NJN3" s="525"/>
      <c r="NJO3" s="525"/>
      <c r="NJP3" s="525"/>
      <c r="NJQ3" s="525"/>
      <c r="NJR3" s="525"/>
      <c r="NJS3" s="525"/>
      <c r="NJT3" s="525"/>
      <c r="NJU3" s="525"/>
      <c r="NJV3" s="525"/>
      <c r="NJW3" s="525"/>
      <c r="NJX3" s="525"/>
      <c r="NJY3" s="525"/>
      <c r="NJZ3" s="525"/>
      <c r="NKA3" s="525"/>
      <c r="NKB3" s="525"/>
      <c r="NKC3" s="525"/>
      <c r="NKD3" s="525"/>
      <c r="NKE3" s="525"/>
      <c r="NKF3" s="525"/>
      <c r="NKG3" s="525"/>
      <c r="NKH3" s="525"/>
      <c r="NKI3" s="525"/>
      <c r="NKJ3" s="525"/>
      <c r="NKK3" s="525"/>
      <c r="NKL3" s="525"/>
      <c r="NKM3" s="525"/>
      <c r="NKN3" s="525"/>
      <c r="NKO3" s="525"/>
      <c r="NKP3" s="525"/>
      <c r="NKQ3" s="525"/>
      <c r="NKR3" s="525"/>
      <c r="NKS3" s="525"/>
      <c r="NKT3" s="525"/>
      <c r="NKU3" s="525"/>
      <c r="NKV3" s="525"/>
      <c r="NKW3" s="525"/>
      <c r="NKX3" s="525"/>
      <c r="NKY3" s="525"/>
      <c r="NKZ3" s="525"/>
      <c r="NLA3" s="525"/>
      <c r="NLB3" s="525"/>
      <c r="NLC3" s="525"/>
      <c r="NLD3" s="525"/>
      <c r="NLE3" s="525"/>
      <c r="NLF3" s="525"/>
      <c r="NLG3" s="525"/>
      <c r="NLH3" s="525"/>
      <c r="NLI3" s="525"/>
      <c r="NLJ3" s="525"/>
      <c r="NLK3" s="525"/>
      <c r="NLL3" s="525"/>
      <c r="NLM3" s="525"/>
      <c r="NLN3" s="525"/>
      <c r="NLO3" s="525"/>
      <c r="NLP3" s="525"/>
      <c r="NLQ3" s="525"/>
      <c r="NLR3" s="525"/>
      <c r="NLS3" s="525"/>
      <c r="NLT3" s="525"/>
      <c r="NLU3" s="525"/>
      <c r="NLV3" s="525"/>
      <c r="NLW3" s="525"/>
      <c r="NLX3" s="525"/>
      <c r="NLY3" s="525"/>
      <c r="NLZ3" s="525"/>
      <c r="NMA3" s="525"/>
      <c r="NMB3" s="525"/>
      <c r="NMC3" s="525"/>
      <c r="NMD3" s="525"/>
      <c r="NME3" s="525"/>
      <c r="NMF3" s="525"/>
      <c r="NMG3" s="525"/>
      <c r="NMH3" s="525"/>
      <c r="NMI3" s="525"/>
      <c r="NMJ3" s="525"/>
      <c r="NMK3" s="525"/>
      <c r="NML3" s="525"/>
      <c r="NMM3" s="525"/>
      <c r="NMN3" s="525"/>
      <c r="NMO3" s="525"/>
      <c r="NMP3" s="525"/>
      <c r="NMQ3" s="525"/>
      <c r="NMR3" s="525"/>
      <c r="NMS3" s="525"/>
      <c r="NMT3" s="525"/>
      <c r="NMU3" s="525"/>
      <c r="NMV3" s="525"/>
      <c r="NMW3" s="525"/>
      <c r="NMX3" s="525"/>
      <c r="NMY3" s="525"/>
      <c r="NMZ3" s="525"/>
      <c r="NNA3" s="525"/>
      <c r="NNB3" s="525"/>
      <c r="NNC3" s="525"/>
      <c r="NND3" s="525"/>
      <c r="NNE3" s="525"/>
      <c r="NNF3" s="525"/>
      <c r="NNG3" s="525"/>
      <c r="NNH3" s="525"/>
      <c r="NNI3" s="525"/>
      <c r="NNJ3" s="525"/>
      <c r="NNK3" s="525"/>
      <c r="NNL3" s="525"/>
      <c r="NNM3" s="525"/>
      <c r="NNN3" s="525"/>
      <c r="NNO3" s="525"/>
      <c r="NNP3" s="525"/>
      <c r="NNQ3" s="525"/>
      <c r="NNR3" s="525"/>
      <c r="NNS3" s="525"/>
      <c r="NNT3" s="525"/>
      <c r="NNU3" s="525"/>
      <c r="NNV3" s="525"/>
      <c r="NNW3" s="525"/>
      <c r="NNX3" s="525"/>
      <c r="NNY3" s="525"/>
      <c r="NNZ3" s="525"/>
      <c r="NOA3" s="525"/>
      <c r="NOB3" s="525"/>
      <c r="NOC3" s="525"/>
      <c r="NOD3" s="525"/>
      <c r="NOE3" s="525"/>
      <c r="NOF3" s="525"/>
      <c r="NOG3" s="525"/>
      <c r="NOH3" s="525"/>
      <c r="NOI3" s="525"/>
      <c r="NOJ3" s="525"/>
      <c r="NOK3" s="525"/>
      <c r="NOL3" s="525"/>
      <c r="NOM3" s="525"/>
      <c r="NON3" s="525"/>
      <c r="NOO3" s="525"/>
      <c r="NOP3" s="525"/>
      <c r="NOQ3" s="525"/>
      <c r="NOR3" s="525"/>
      <c r="NOS3" s="525"/>
      <c r="NOT3" s="525"/>
      <c r="NOU3" s="525"/>
      <c r="NOV3" s="525"/>
      <c r="NOW3" s="525"/>
      <c r="NOX3" s="525"/>
      <c r="NOY3" s="525"/>
      <c r="NOZ3" s="525"/>
      <c r="NPA3" s="525"/>
      <c r="NPB3" s="525"/>
      <c r="NPC3" s="525"/>
      <c r="NPD3" s="525"/>
      <c r="NPE3" s="525"/>
      <c r="NPF3" s="525"/>
      <c r="NPG3" s="525"/>
      <c r="NPH3" s="525"/>
      <c r="NPI3" s="525"/>
      <c r="NPJ3" s="525"/>
      <c r="NPK3" s="525"/>
      <c r="NPL3" s="525"/>
      <c r="NPM3" s="525"/>
      <c r="NPN3" s="525"/>
      <c r="NPO3" s="525"/>
      <c r="NPP3" s="525"/>
      <c r="NPQ3" s="525"/>
      <c r="NPR3" s="525"/>
      <c r="NPS3" s="525"/>
      <c r="NPT3" s="525"/>
      <c r="NPU3" s="525"/>
      <c r="NPV3" s="525"/>
      <c r="NPW3" s="525"/>
      <c r="NPX3" s="525"/>
      <c r="NPY3" s="525"/>
      <c r="NPZ3" s="525"/>
      <c r="NQA3" s="525"/>
      <c r="NQB3" s="525"/>
      <c r="NQC3" s="525"/>
      <c r="NQD3" s="525"/>
      <c r="NQE3" s="525"/>
      <c r="NQF3" s="525"/>
      <c r="NQG3" s="525"/>
      <c r="NQH3" s="525"/>
      <c r="NQI3" s="525"/>
      <c r="NQJ3" s="525"/>
      <c r="NQK3" s="525"/>
      <c r="NQL3" s="525"/>
      <c r="NQM3" s="525"/>
      <c r="NQN3" s="525"/>
      <c r="NQO3" s="525"/>
      <c r="NQP3" s="525"/>
      <c r="NQQ3" s="525"/>
      <c r="NQR3" s="525"/>
      <c r="NQS3" s="525"/>
      <c r="NQT3" s="525"/>
      <c r="NQU3" s="525"/>
      <c r="NQV3" s="525"/>
      <c r="NQW3" s="525"/>
      <c r="NQX3" s="525"/>
      <c r="NQY3" s="525"/>
      <c r="NQZ3" s="525"/>
      <c r="NRA3" s="525"/>
      <c r="NRB3" s="525"/>
      <c r="NRC3" s="525"/>
      <c r="NRD3" s="525"/>
      <c r="NRE3" s="525"/>
      <c r="NRF3" s="525"/>
      <c r="NRG3" s="525"/>
      <c r="NRH3" s="525"/>
      <c r="NRI3" s="525"/>
      <c r="NRJ3" s="525"/>
      <c r="NRK3" s="525"/>
      <c r="NRL3" s="525"/>
      <c r="NRM3" s="525"/>
      <c r="NRN3" s="525"/>
      <c r="NRO3" s="525"/>
      <c r="NRP3" s="525"/>
      <c r="NRQ3" s="525"/>
      <c r="NRR3" s="525"/>
      <c r="NRS3" s="525"/>
      <c r="NRT3" s="525"/>
      <c r="NRU3" s="525"/>
      <c r="NRV3" s="525"/>
      <c r="NRW3" s="525"/>
      <c r="NRX3" s="525"/>
      <c r="NRY3" s="525"/>
      <c r="NRZ3" s="525"/>
      <c r="NSA3" s="525"/>
      <c r="NSB3" s="525"/>
      <c r="NSC3" s="525"/>
      <c r="NSD3" s="525"/>
      <c r="NSE3" s="525"/>
      <c r="NSF3" s="525"/>
      <c r="NSG3" s="525"/>
      <c r="NSH3" s="525"/>
      <c r="NSI3" s="525"/>
      <c r="NSJ3" s="525"/>
      <c r="NSK3" s="525"/>
      <c r="NSL3" s="525"/>
      <c r="NSM3" s="525"/>
      <c r="NSN3" s="525"/>
      <c r="NSO3" s="525"/>
      <c r="NSP3" s="525"/>
      <c r="NSQ3" s="525"/>
      <c r="NSR3" s="525"/>
      <c r="NSS3" s="525"/>
      <c r="NST3" s="525"/>
      <c r="NSU3" s="525"/>
      <c r="NSV3" s="525"/>
      <c r="NSW3" s="525"/>
      <c r="NSX3" s="525"/>
      <c r="NSY3" s="525"/>
      <c r="NSZ3" s="525"/>
      <c r="NTA3" s="525"/>
      <c r="NTB3" s="525"/>
      <c r="NTC3" s="525"/>
      <c r="NTD3" s="525"/>
      <c r="NTE3" s="525"/>
      <c r="NTF3" s="525"/>
      <c r="NTG3" s="525"/>
      <c r="NTH3" s="525"/>
      <c r="NTI3" s="525"/>
      <c r="NTJ3" s="525"/>
      <c r="NTK3" s="525"/>
      <c r="NTL3" s="525"/>
      <c r="NTM3" s="525"/>
      <c r="NTN3" s="525"/>
      <c r="NTO3" s="525"/>
      <c r="NTP3" s="525"/>
      <c r="NTQ3" s="525"/>
      <c r="NTR3" s="525"/>
      <c r="NTS3" s="525"/>
      <c r="NTT3" s="525"/>
      <c r="NTU3" s="525"/>
      <c r="NTV3" s="525"/>
      <c r="NTW3" s="525"/>
      <c r="NTX3" s="525"/>
      <c r="NTY3" s="525"/>
      <c r="NTZ3" s="525"/>
      <c r="NUA3" s="525"/>
      <c r="NUB3" s="525"/>
      <c r="NUC3" s="525"/>
      <c r="NUD3" s="525"/>
      <c r="NUE3" s="525"/>
      <c r="NUF3" s="525"/>
      <c r="NUG3" s="525"/>
      <c r="NUH3" s="525"/>
      <c r="NUI3" s="525"/>
      <c r="NUJ3" s="525"/>
      <c r="NUK3" s="525"/>
      <c r="NUL3" s="525"/>
      <c r="NUM3" s="525"/>
      <c r="NUN3" s="525"/>
      <c r="NUO3" s="525"/>
      <c r="NUP3" s="525"/>
      <c r="NUQ3" s="525"/>
      <c r="NUR3" s="525"/>
      <c r="NUS3" s="525"/>
      <c r="NUT3" s="525"/>
      <c r="NUU3" s="525"/>
      <c r="NUV3" s="525"/>
      <c r="NUW3" s="525"/>
      <c r="NUX3" s="525"/>
      <c r="NUY3" s="525"/>
      <c r="NUZ3" s="525"/>
      <c r="NVA3" s="525"/>
      <c r="NVB3" s="525"/>
      <c r="NVC3" s="525"/>
      <c r="NVD3" s="525"/>
      <c r="NVE3" s="525"/>
      <c r="NVF3" s="525"/>
      <c r="NVG3" s="525"/>
      <c r="NVH3" s="525"/>
      <c r="NVI3" s="525"/>
      <c r="NVJ3" s="525"/>
      <c r="NVK3" s="525"/>
      <c r="NVL3" s="525"/>
      <c r="NVM3" s="525"/>
      <c r="NVN3" s="525"/>
      <c r="NVO3" s="525"/>
      <c r="NVP3" s="525"/>
      <c r="NVQ3" s="525"/>
      <c r="NVR3" s="525"/>
      <c r="NVS3" s="525"/>
      <c r="NVT3" s="525"/>
      <c r="NVU3" s="525"/>
      <c r="NVV3" s="525"/>
      <c r="NVW3" s="525"/>
      <c r="NVX3" s="525"/>
      <c r="NVY3" s="525"/>
      <c r="NVZ3" s="525"/>
      <c r="NWA3" s="525"/>
      <c r="NWB3" s="525"/>
      <c r="NWC3" s="525"/>
      <c r="NWD3" s="525"/>
      <c r="NWE3" s="525"/>
      <c r="NWF3" s="525"/>
      <c r="NWG3" s="525"/>
      <c r="NWH3" s="525"/>
      <c r="NWI3" s="525"/>
      <c r="NWJ3" s="525"/>
      <c r="NWK3" s="525"/>
      <c r="NWL3" s="525"/>
      <c r="NWM3" s="525"/>
      <c r="NWN3" s="525"/>
      <c r="NWO3" s="525"/>
      <c r="NWP3" s="525"/>
      <c r="NWQ3" s="525"/>
      <c r="NWR3" s="525"/>
      <c r="NWS3" s="525"/>
      <c r="NWT3" s="525"/>
      <c r="NWU3" s="525"/>
      <c r="NWV3" s="525"/>
      <c r="NWW3" s="525"/>
      <c r="NWX3" s="525"/>
      <c r="NWY3" s="525"/>
      <c r="NWZ3" s="525"/>
      <c r="NXA3" s="525"/>
      <c r="NXB3" s="525"/>
      <c r="NXC3" s="525"/>
      <c r="NXD3" s="525"/>
      <c r="NXE3" s="525"/>
      <c r="NXF3" s="525"/>
      <c r="NXG3" s="525"/>
      <c r="NXH3" s="525"/>
      <c r="NXI3" s="525"/>
      <c r="NXJ3" s="525"/>
      <c r="NXK3" s="525"/>
      <c r="NXL3" s="525"/>
      <c r="NXM3" s="525"/>
      <c r="NXN3" s="525"/>
      <c r="NXO3" s="525"/>
      <c r="NXP3" s="525"/>
      <c r="NXQ3" s="525"/>
      <c r="NXR3" s="525"/>
      <c r="NXS3" s="525"/>
      <c r="NXT3" s="525"/>
      <c r="NXU3" s="525"/>
      <c r="NXV3" s="525"/>
      <c r="NXW3" s="525"/>
      <c r="NXX3" s="525"/>
      <c r="NXY3" s="525"/>
      <c r="NXZ3" s="525"/>
      <c r="NYA3" s="525"/>
      <c r="NYB3" s="525"/>
      <c r="NYC3" s="525"/>
      <c r="NYD3" s="525"/>
      <c r="NYE3" s="525"/>
      <c r="NYF3" s="525"/>
      <c r="NYG3" s="525"/>
      <c r="NYH3" s="525"/>
      <c r="NYI3" s="525"/>
      <c r="NYJ3" s="525"/>
      <c r="NYK3" s="525"/>
      <c r="NYL3" s="525"/>
      <c r="NYM3" s="525"/>
      <c r="NYN3" s="525"/>
      <c r="NYO3" s="525"/>
      <c r="NYP3" s="525"/>
      <c r="NYQ3" s="525"/>
      <c r="NYR3" s="525"/>
      <c r="NYS3" s="525"/>
      <c r="NYT3" s="525"/>
      <c r="NYU3" s="525"/>
      <c r="NYV3" s="525"/>
      <c r="NYW3" s="525"/>
      <c r="NYX3" s="525"/>
      <c r="NYY3" s="525"/>
      <c r="NYZ3" s="525"/>
      <c r="NZA3" s="525"/>
      <c r="NZB3" s="525"/>
      <c r="NZC3" s="525"/>
      <c r="NZD3" s="525"/>
      <c r="NZE3" s="525"/>
      <c r="NZF3" s="525"/>
      <c r="NZG3" s="525"/>
      <c r="NZH3" s="525"/>
      <c r="NZI3" s="525"/>
      <c r="NZJ3" s="525"/>
      <c r="NZK3" s="525"/>
      <c r="NZL3" s="525"/>
      <c r="NZM3" s="525"/>
      <c r="NZN3" s="525"/>
      <c r="NZO3" s="525"/>
      <c r="NZP3" s="525"/>
      <c r="NZQ3" s="525"/>
      <c r="NZR3" s="525"/>
      <c r="NZS3" s="525"/>
      <c r="NZT3" s="525"/>
      <c r="NZU3" s="525"/>
      <c r="NZV3" s="525"/>
      <c r="NZW3" s="525"/>
      <c r="NZX3" s="525"/>
      <c r="NZY3" s="525"/>
      <c r="NZZ3" s="525"/>
      <c r="OAA3" s="525"/>
      <c r="OAB3" s="525"/>
      <c r="OAC3" s="525"/>
      <c r="OAD3" s="525"/>
      <c r="OAE3" s="525"/>
      <c r="OAF3" s="525"/>
      <c r="OAG3" s="525"/>
      <c r="OAH3" s="525"/>
      <c r="OAI3" s="525"/>
      <c r="OAJ3" s="525"/>
      <c r="OAK3" s="525"/>
      <c r="OAL3" s="525"/>
      <c r="OAM3" s="525"/>
      <c r="OAN3" s="525"/>
      <c r="OAO3" s="525"/>
      <c r="OAP3" s="525"/>
      <c r="OAQ3" s="525"/>
      <c r="OAR3" s="525"/>
      <c r="OAS3" s="525"/>
      <c r="OAT3" s="525"/>
      <c r="OAU3" s="525"/>
      <c r="OAV3" s="525"/>
      <c r="OAW3" s="525"/>
      <c r="OAX3" s="525"/>
      <c r="OAY3" s="525"/>
      <c r="OAZ3" s="525"/>
      <c r="OBA3" s="525"/>
      <c r="OBB3" s="525"/>
      <c r="OBC3" s="525"/>
      <c r="OBD3" s="525"/>
      <c r="OBE3" s="525"/>
      <c r="OBF3" s="525"/>
      <c r="OBG3" s="525"/>
      <c r="OBH3" s="525"/>
      <c r="OBI3" s="525"/>
      <c r="OBJ3" s="525"/>
      <c r="OBK3" s="525"/>
      <c r="OBL3" s="525"/>
      <c r="OBM3" s="525"/>
      <c r="OBN3" s="525"/>
      <c r="OBO3" s="525"/>
      <c r="OBP3" s="525"/>
      <c r="OBQ3" s="525"/>
      <c r="OBR3" s="525"/>
      <c r="OBS3" s="525"/>
      <c r="OBT3" s="525"/>
      <c r="OBU3" s="525"/>
      <c r="OBV3" s="525"/>
      <c r="OBW3" s="525"/>
      <c r="OBX3" s="525"/>
      <c r="OBY3" s="525"/>
      <c r="OBZ3" s="525"/>
      <c r="OCA3" s="525"/>
      <c r="OCB3" s="525"/>
      <c r="OCC3" s="525"/>
      <c r="OCD3" s="525"/>
      <c r="OCE3" s="525"/>
      <c r="OCF3" s="525"/>
      <c r="OCG3" s="525"/>
      <c r="OCH3" s="525"/>
      <c r="OCI3" s="525"/>
      <c r="OCJ3" s="525"/>
      <c r="OCK3" s="525"/>
      <c r="OCL3" s="525"/>
      <c r="OCM3" s="525"/>
      <c r="OCN3" s="525"/>
      <c r="OCO3" s="525"/>
      <c r="OCP3" s="525"/>
      <c r="OCQ3" s="525"/>
      <c r="OCR3" s="525"/>
      <c r="OCS3" s="525"/>
      <c r="OCT3" s="525"/>
      <c r="OCU3" s="525"/>
      <c r="OCV3" s="525"/>
      <c r="OCW3" s="525"/>
      <c r="OCX3" s="525"/>
      <c r="OCY3" s="525"/>
      <c r="OCZ3" s="525"/>
      <c r="ODA3" s="525"/>
      <c r="ODB3" s="525"/>
      <c r="ODC3" s="525"/>
      <c r="ODD3" s="525"/>
      <c r="ODE3" s="525"/>
      <c r="ODF3" s="525"/>
      <c r="ODG3" s="525"/>
      <c r="ODH3" s="525"/>
      <c r="ODI3" s="525"/>
      <c r="ODJ3" s="525"/>
      <c r="ODK3" s="525"/>
      <c r="ODL3" s="525"/>
      <c r="ODM3" s="525"/>
      <c r="ODN3" s="525"/>
      <c r="ODO3" s="525"/>
      <c r="ODP3" s="525"/>
      <c r="ODQ3" s="525"/>
      <c r="ODR3" s="525"/>
      <c r="ODS3" s="525"/>
      <c r="ODT3" s="525"/>
      <c r="ODU3" s="525"/>
      <c r="ODV3" s="525"/>
      <c r="ODW3" s="525"/>
      <c r="ODX3" s="525"/>
      <c r="ODY3" s="525"/>
      <c r="ODZ3" s="525"/>
      <c r="OEA3" s="525"/>
      <c r="OEB3" s="525"/>
      <c r="OEC3" s="525"/>
      <c r="OED3" s="525"/>
      <c r="OEE3" s="525"/>
      <c r="OEF3" s="525"/>
      <c r="OEG3" s="525"/>
      <c r="OEH3" s="525"/>
      <c r="OEI3" s="525"/>
      <c r="OEJ3" s="525"/>
      <c r="OEK3" s="525"/>
      <c r="OEL3" s="525"/>
      <c r="OEM3" s="525"/>
      <c r="OEN3" s="525"/>
      <c r="OEO3" s="525"/>
      <c r="OEP3" s="525"/>
      <c r="OEQ3" s="525"/>
      <c r="OER3" s="525"/>
      <c r="OES3" s="525"/>
      <c r="OET3" s="525"/>
      <c r="OEU3" s="525"/>
      <c r="OEV3" s="525"/>
      <c r="OEW3" s="525"/>
      <c r="OEX3" s="525"/>
      <c r="OEY3" s="525"/>
      <c r="OEZ3" s="525"/>
      <c r="OFA3" s="525"/>
      <c r="OFB3" s="525"/>
      <c r="OFC3" s="525"/>
      <c r="OFD3" s="525"/>
      <c r="OFE3" s="525"/>
      <c r="OFF3" s="525"/>
      <c r="OFG3" s="525"/>
      <c r="OFH3" s="525"/>
      <c r="OFI3" s="525"/>
      <c r="OFJ3" s="525"/>
      <c r="OFK3" s="525"/>
      <c r="OFL3" s="525"/>
      <c r="OFM3" s="525"/>
      <c r="OFN3" s="525"/>
      <c r="OFO3" s="525"/>
      <c r="OFP3" s="525"/>
      <c r="OFQ3" s="525"/>
      <c r="OFR3" s="525"/>
      <c r="OFS3" s="525"/>
      <c r="OFT3" s="525"/>
      <c r="OFU3" s="525"/>
      <c r="OFV3" s="525"/>
      <c r="OFW3" s="525"/>
      <c r="OFX3" s="525"/>
      <c r="OFY3" s="525"/>
      <c r="OFZ3" s="525"/>
      <c r="OGA3" s="525"/>
      <c r="OGB3" s="525"/>
      <c r="OGC3" s="525"/>
      <c r="OGD3" s="525"/>
      <c r="OGE3" s="525"/>
      <c r="OGF3" s="525"/>
      <c r="OGG3" s="525"/>
      <c r="OGH3" s="525"/>
      <c r="OGI3" s="525"/>
      <c r="OGJ3" s="525"/>
      <c r="OGK3" s="525"/>
      <c r="OGL3" s="525"/>
      <c r="OGM3" s="525"/>
      <c r="OGN3" s="525"/>
      <c r="OGO3" s="525"/>
      <c r="OGP3" s="525"/>
      <c r="OGQ3" s="525"/>
      <c r="OGR3" s="525"/>
      <c r="OGS3" s="525"/>
      <c r="OGT3" s="525"/>
      <c r="OGU3" s="525"/>
      <c r="OGV3" s="525"/>
      <c r="OGW3" s="525"/>
      <c r="OGX3" s="525"/>
      <c r="OGY3" s="525"/>
      <c r="OGZ3" s="525"/>
      <c r="OHA3" s="525"/>
      <c r="OHB3" s="525"/>
      <c r="OHC3" s="525"/>
      <c r="OHD3" s="525"/>
      <c r="OHE3" s="525"/>
      <c r="OHF3" s="525"/>
      <c r="OHG3" s="525"/>
      <c r="OHH3" s="525"/>
      <c r="OHI3" s="525"/>
      <c r="OHJ3" s="525"/>
      <c r="OHK3" s="525"/>
      <c r="OHL3" s="525"/>
      <c r="OHM3" s="525"/>
      <c r="OHN3" s="525"/>
      <c r="OHO3" s="525"/>
      <c r="OHP3" s="525"/>
      <c r="OHQ3" s="525"/>
      <c r="OHR3" s="525"/>
      <c r="OHS3" s="525"/>
      <c r="OHT3" s="525"/>
      <c r="OHU3" s="525"/>
      <c r="OHV3" s="525"/>
      <c r="OHW3" s="525"/>
      <c r="OHX3" s="525"/>
      <c r="OHY3" s="525"/>
      <c r="OHZ3" s="525"/>
      <c r="OIA3" s="525"/>
      <c r="OIB3" s="525"/>
      <c r="OIC3" s="525"/>
      <c r="OID3" s="525"/>
      <c r="OIE3" s="525"/>
      <c r="OIF3" s="525"/>
      <c r="OIG3" s="525"/>
      <c r="OIH3" s="525"/>
      <c r="OII3" s="525"/>
      <c r="OIJ3" s="525"/>
      <c r="OIK3" s="525"/>
      <c r="OIL3" s="525"/>
      <c r="OIM3" s="525"/>
      <c r="OIN3" s="525"/>
      <c r="OIO3" s="525"/>
      <c r="OIP3" s="525"/>
      <c r="OIQ3" s="525"/>
      <c r="OIR3" s="525"/>
      <c r="OIS3" s="525"/>
      <c r="OIT3" s="525"/>
      <c r="OIU3" s="525"/>
      <c r="OIV3" s="525"/>
      <c r="OIW3" s="525"/>
      <c r="OIX3" s="525"/>
      <c r="OIY3" s="525"/>
      <c r="OIZ3" s="525"/>
      <c r="OJA3" s="525"/>
      <c r="OJB3" s="525"/>
      <c r="OJC3" s="525"/>
      <c r="OJD3" s="525"/>
      <c r="OJE3" s="525"/>
      <c r="OJF3" s="525"/>
      <c r="OJG3" s="525"/>
      <c r="OJH3" s="525"/>
      <c r="OJI3" s="525"/>
      <c r="OJJ3" s="525"/>
      <c r="OJK3" s="525"/>
      <c r="OJL3" s="525"/>
      <c r="OJM3" s="525"/>
      <c r="OJN3" s="525"/>
      <c r="OJO3" s="525"/>
      <c r="OJP3" s="525"/>
      <c r="OJQ3" s="525"/>
      <c r="OJR3" s="525"/>
      <c r="OJS3" s="525"/>
      <c r="OJT3" s="525"/>
      <c r="OJU3" s="525"/>
      <c r="OJV3" s="525"/>
      <c r="OJW3" s="525"/>
      <c r="OJX3" s="525"/>
      <c r="OJY3" s="525"/>
      <c r="OJZ3" s="525"/>
      <c r="OKA3" s="525"/>
      <c r="OKB3" s="525"/>
      <c r="OKC3" s="525"/>
      <c r="OKD3" s="525"/>
      <c r="OKE3" s="525"/>
      <c r="OKF3" s="525"/>
      <c r="OKG3" s="525"/>
      <c r="OKH3" s="525"/>
      <c r="OKI3" s="525"/>
      <c r="OKJ3" s="525"/>
      <c r="OKK3" s="525"/>
      <c r="OKL3" s="525"/>
      <c r="OKM3" s="525"/>
      <c r="OKN3" s="525"/>
      <c r="OKO3" s="525"/>
      <c r="OKP3" s="525"/>
      <c r="OKQ3" s="525"/>
      <c r="OKR3" s="525"/>
      <c r="OKS3" s="525"/>
      <c r="OKT3" s="525"/>
      <c r="OKU3" s="525"/>
      <c r="OKV3" s="525"/>
      <c r="OKW3" s="525"/>
      <c r="OKX3" s="525"/>
      <c r="OKY3" s="525"/>
      <c r="OKZ3" s="525"/>
      <c r="OLA3" s="525"/>
      <c r="OLB3" s="525"/>
      <c r="OLC3" s="525"/>
      <c r="OLD3" s="525"/>
      <c r="OLE3" s="525"/>
      <c r="OLF3" s="525"/>
      <c r="OLG3" s="525"/>
      <c r="OLH3" s="525"/>
      <c r="OLI3" s="525"/>
      <c r="OLJ3" s="525"/>
      <c r="OLK3" s="525"/>
      <c r="OLL3" s="525"/>
      <c r="OLM3" s="525"/>
      <c r="OLN3" s="525"/>
      <c r="OLO3" s="525"/>
      <c r="OLP3" s="525"/>
      <c r="OLQ3" s="525"/>
      <c r="OLR3" s="525"/>
      <c r="OLS3" s="525"/>
      <c r="OLT3" s="525"/>
      <c r="OLU3" s="525"/>
      <c r="OLV3" s="525"/>
      <c r="OLW3" s="525"/>
      <c r="OLX3" s="525"/>
      <c r="OLY3" s="525"/>
      <c r="OLZ3" s="525"/>
      <c r="OMA3" s="525"/>
      <c r="OMB3" s="525"/>
      <c r="OMC3" s="525"/>
      <c r="OMD3" s="525"/>
      <c r="OME3" s="525"/>
      <c r="OMF3" s="525"/>
      <c r="OMG3" s="525"/>
      <c r="OMH3" s="525"/>
      <c r="OMI3" s="525"/>
      <c r="OMJ3" s="525"/>
      <c r="OMK3" s="525"/>
      <c r="OML3" s="525"/>
      <c r="OMM3" s="525"/>
      <c r="OMN3" s="525"/>
      <c r="OMO3" s="525"/>
      <c r="OMP3" s="525"/>
      <c r="OMQ3" s="525"/>
      <c r="OMR3" s="525"/>
      <c r="OMS3" s="525"/>
      <c r="OMT3" s="525"/>
      <c r="OMU3" s="525"/>
      <c r="OMV3" s="525"/>
      <c r="OMW3" s="525"/>
      <c r="OMX3" s="525"/>
      <c r="OMY3" s="525"/>
      <c r="OMZ3" s="525"/>
      <c r="ONA3" s="525"/>
      <c r="ONB3" s="525"/>
      <c r="ONC3" s="525"/>
      <c r="OND3" s="525"/>
      <c r="ONE3" s="525"/>
      <c r="ONF3" s="525"/>
      <c r="ONG3" s="525"/>
      <c r="ONH3" s="525"/>
      <c r="ONI3" s="525"/>
      <c r="ONJ3" s="525"/>
      <c r="ONK3" s="525"/>
      <c r="ONL3" s="525"/>
      <c r="ONM3" s="525"/>
      <c r="ONN3" s="525"/>
      <c r="ONO3" s="525"/>
      <c r="ONP3" s="525"/>
      <c r="ONQ3" s="525"/>
      <c r="ONR3" s="525"/>
      <c r="ONS3" s="525"/>
      <c r="ONT3" s="525"/>
      <c r="ONU3" s="525"/>
      <c r="ONV3" s="525"/>
      <c r="ONW3" s="525"/>
      <c r="ONX3" s="525"/>
      <c r="ONY3" s="525"/>
      <c r="ONZ3" s="525"/>
      <c r="OOA3" s="525"/>
      <c r="OOB3" s="525"/>
      <c r="OOC3" s="525"/>
      <c r="OOD3" s="525"/>
      <c r="OOE3" s="525"/>
      <c r="OOF3" s="525"/>
      <c r="OOG3" s="525"/>
      <c r="OOH3" s="525"/>
      <c r="OOI3" s="525"/>
      <c r="OOJ3" s="525"/>
      <c r="OOK3" s="525"/>
      <c r="OOL3" s="525"/>
      <c r="OOM3" s="525"/>
      <c r="OON3" s="525"/>
      <c r="OOO3" s="525"/>
      <c r="OOP3" s="525"/>
      <c r="OOQ3" s="525"/>
      <c r="OOR3" s="525"/>
      <c r="OOS3" s="525"/>
      <c r="OOT3" s="525"/>
      <c r="OOU3" s="525"/>
      <c r="OOV3" s="525"/>
      <c r="OOW3" s="525"/>
      <c r="OOX3" s="525"/>
      <c r="OOY3" s="525"/>
      <c r="OOZ3" s="525"/>
      <c r="OPA3" s="525"/>
      <c r="OPB3" s="525"/>
      <c r="OPC3" s="525"/>
      <c r="OPD3" s="525"/>
      <c r="OPE3" s="525"/>
      <c r="OPF3" s="525"/>
      <c r="OPG3" s="525"/>
      <c r="OPH3" s="525"/>
      <c r="OPI3" s="525"/>
      <c r="OPJ3" s="525"/>
      <c r="OPK3" s="525"/>
      <c r="OPL3" s="525"/>
      <c r="OPM3" s="525"/>
      <c r="OPN3" s="525"/>
      <c r="OPO3" s="525"/>
      <c r="OPP3" s="525"/>
      <c r="OPQ3" s="525"/>
      <c r="OPR3" s="525"/>
      <c r="OPS3" s="525"/>
      <c r="OPT3" s="525"/>
      <c r="OPU3" s="525"/>
      <c r="OPV3" s="525"/>
      <c r="OPW3" s="525"/>
      <c r="OPX3" s="525"/>
      <c r="OPY3" s="525"/>
      <c r="OPZ3" s="525"/>
      <c r="OQA3" s="525"/>
      <c r="OQB3" s="525"/>
      <c r="OQC3" s="525"/>
      <c r="OQD3" s="525"/>
      <c r="OQE3" s="525"/>
      <c r="OQF3" s="525"/>
      <c r="OQG3" s="525"/>
      <c r="OQH3" s="525"/>
      <c r="OQI3" s="525"/>
      <c r="OQJ3" s="525"/>
      <c r="OQK3" s="525"/>
      <c r="OQL3" s="525"/>
      <c r="OQM3" s="525"/>
      <c r="OQN3" s="525"/>
      <c r="OQO3" s="525"/>
      <c r="OQP3" s="525"/>
      <c r="OQQ3" s="525"/>
      <c r="OQR3" s="525"/>
      <c r="OQS3" s="525"/>
      <c r="OQT3" s="525"/>
      <c r="OQU3" s="525"/>
      <c r="OQV3" s="525"/>
      <c r="OQW3" s="525"/>
      <c r="OQX3" s="525"/>
      <c r="OQY3" s="525"/>
      <c r="OQZ3" s="525"/>
      <c r="ORA3" s="525"/>
      <c r="ORB3" s="525"/>
      <c r="ORC3" s="525"/>
      <c r="ORD3" s="525"/>
      <c r="ORE3" s="525"/>
      <c r="ORF3" s="525"/>
      <c r="ORG3" s="525"/>
      <c r="ORH3" s="525"/>
      <c r="ORI3" s="525"/>
      <c r="ORJ3" s="525"/>
      <c r="ORK3" s="525"/>
      <c r="ORL3" s="525"/>
      <c r="ORM3" s="525"/>
      <c r="ORN3" s="525"/>
      <c r="ORO3" s="525"/>
      <c r="ORP3" s="525"/>
      <c r="ORQ3" s="525"/>
      <c r="ORR3" s="525"/>
      <c r="ORS3" s="525"/>
      <c r="ORT3" s="525"/>
      <c r="ORU3" s="525"/>
      <c r="ORV3" s="525"/>
      <c r="ORW3" s="525"/>
      <c r="ORX3" s="525"/>
      <c r="ORY3" s="525"/>
      <c r="ORZ3" s="525"/>
      <c r="OSA3" s="525"/>
      <c r="OSB3" s="525"/>
      <c r="OSC3" s="525"/>
      <c r="OSD3" s="525"/>
      <c r="OSE3" s="525"/>
      <c r="OSF3" s="525"/>
      <c r="OSG3" s="525"/>
      <c r="OSH3" s="525"/>
      <c r="OSI3" s="525"/>
      <c r="OSJ3" s="525"/>
      <c r="OSK3" s="525"/>
      <c r="OSL3" s="525"/>
      <c r="OSM3" s="525"/>
      <c r="OSN3" s="525"/>
      <c r="OSO3" s="525"/>
      <c r="OSP3" s="525"/>
      <c r="OSQ3" s="525"/>
      <c r="OSR3" s="525"/>
      <c r="OSS3" s="525"/>
      <c r="OST3" s="525"/>
      <c r="OSU3" s="525"/>
      <c r="OSV3" s="525"/>
      <c r="OSW3" s="525"/>
      <c r="OSX3" s="525"/>
      <c r="OSY3" s="525"/>
      <c r="OSZ3" s="525"/>
      <c r="OTA3" s="525"/>
      <c r="OTB3" s="525"/>
      <c r="OTC3" s="525"/>
      <c r="OTD3" s="525"/>
      <c r="OTE3" s="525"/>
      <c r="OTF3" s="525"/>
      <c r="OTG3" s="525"/>
      <c r="OTH3" s="525"/>
      <c r="OTI3" s="525"/>
      <c r="OTJ3" s="525"/>
      <c r="OTK3" s="525"/>
      <c r="OTL3" s="525"/>
      <c r="OTM3" s="525"/>
      <c r="OTN3" s="525"/>
      <c r="OTO3" s="525"/>
      <c r="OTP3" s="525"/>
      <c r="OTQ3" s="525"/>
      <c r="OTR3" s="525"/>
      <c r="OTS3" s="525"/>
      <c r="OTT3" s="525"/>
      <c r="OTU3" s="525"/>
      <c r="OTV3" s="525"/>
      <c r="OTW3" s="525"/>
      <c r="OTX3" s="525"/>
      <c r="OTY3" s="525"/>
      <c r="OTZ3" s="525"/>
      <c r="OUA3" s="525"/>
      <c r="OUB3" s="525"/>
      <c r="OUC3" s="525"/>
      <c r="OUD3" s="525"/>
      <c r="OUE3" s="525"/>
      <c r="OUF3" s="525"/>
      <c r="OUG3" s="525"/>
      <c r="OUH3" s="525"/>
      <c r="OUI3" s="525"/>
      <c r="OUJ3" s="525"/>
      <c r="OUK3" s="525"/>
      <c r="OUL3" s="525"/>
      <c r="OUM3" s="525"/>
      <c r="OUN3" s="525"/>
      <c r="OUO3" s="525"/>
      <c r="OUP3" s="525"/>
      <c r="OUQ3" s="525"/>
      <c r="OUR3" s="525"/>
      <c r="OUS3" s="525"/>
      <c r="OUT3" s="525"/>
      <c r="OUU3" s="525"/>
      <c r="OUV3" s="525"/>
      <c r="OUW3" s="525"/>
      <c r="OUX3" s="525"/>
      <c r="OUY3" s="525"/>
      <c r="OUZ3" s="525"/>
      <c r="OVA3" s="525"/>
      <c r="OVB3" s="525"/>
      <c r="OVC3" s="525"/>
      <c r="OVD3" s="525"/>
      <c r="OVE3" s="525"/>
      <c r="OVF3" s="525"/>
      <c r="OVG3" s="525"/>
      <c r="OVH3" s="525"/>
      <c r="OVI3" s="525"/>
      <c r="OVJ3" s="525"/>
      <c r="OVK3" s="525"/>
      <c r="OVL3" s="525"/>
      <c r="OVM3" s="525"/>
      <c r="OVN3" s="525"/>
      <c r="OVO3" s="525"/>
      <c r="OVP3" s="525"/>
      <c r="OVQ3" s="525"/>
      <c r="OVR3" s="525"/>
      <c r="OVS3" s="525"/>
      <c r="OVT3" s="525"/>
      <c r="OVU3" s="525"/>
      <c r="OVV3" s="525"/>
      <c r="OVW3" s="525"/>
      <c r="OVX3" s="525"/>
      <c r="OVY3" s="525"/>
      <c r="OVZ3" s="525"/>
      <c r="OWA3" s="525"/>
      <c r="OWB3" s="525"/>
      <c r="OWC3" s="525"/>
      <c r="OWD3" s="525"/>
      <c r="OWE3" s="525"/>
      <c r="OWF3" s="525"/>
      <c r="OWG3" s="525"/>
      <c r="OWH3" s="525"/>
      <c r="OWI3" s="525"/>
      <c r="OWJ3" s="525"/>
      <c r="OWK3" s="525"/>
      <c r="OWL3" s="525"/>
      <c r="OWM3" s="525"/>
      <c r="OWN3" s="525"/>
      <c r="OWO3" s="525"/>
      <c r="OWP3" s="525"/>
      <c r="OWQ3" s="525"/>
      <c r="OWR3" s="525"/>
      <c r="OWS3" s="525"/>
      <c r="OWT3" s="525"/>
      <c r="OWU3" s="525"/>
      <c r="OWV3" s="525"/>
      <c r="OWW3" s="525"/>
      <c r="OWX3" s="525"/>
      <c r="OWY3" s="525"/>
      <c r="OWZ3" s="525"/>
      <c r="OXA3" s="525"/>
      <c r="OXB3" s="525"/>
      <c r="OXC3" s="525"/>
      <c r="OXD3" s="525"/>
      <c r="OXE3" s="525"/>
      <c r="OXF3" s="525"/>
      <c r="OXG3" s="525"/>
      <c r="OXH3" s="525"/>
      <c r="OXI3" s="525"/>
      <c r="OXJ3" s="525"/>
      <c r="OXK3" s="525"/>
      <c r="OXL3" s="525"/>
      <c r="OXM3" s="525"/>
      <c r="OXN3" s="525"/>
      <c r="OXO3" s="525"/>
      <c r="OXP3" s="525"/>
      <c r="OXQ3" s="525"/>
      <c r="OXR3" s="525"/>
      <c r="OXS3" s="525"/>
      <c r="OXT3" s="525"/>
      <c r="OXU3" s="525"/>
      <c r="OXV3" s="525"/>
      <c r="OXW3" s="525"/>
      <c r="OXX3" s="525"/>
      <c r="OXY3" s="525"/>
      <c r="OXZ3" s="525"/>
      <c r="OYA3" s="525"/>
      <c r="OYB3" s="525"/>
      <c r="OYC3" s="525"/>
      <c r="OYD3" s="525"/>
      <c r="OYE3" s="525"/>
      <c r="OYF3" s="525"/>
      <c r="OYG3" s="525"/>
      <c r="OYH3" s="525"/>
      <c r="OYI3" s="525"/>
      <c r="OYJ3" s="525"/>
      <c r="OYK3" s="525"/>
      <c r="OYL3" s="525"/>
      <c r="OYM3" s="525"/>
      <c r="OYN3" s="525"/>
      <c r="OYO3" s="525"/>
      <c r="OYP3" s="525"/>
      <c r="OYQ3" s="525"/>
      <c r="OYR3" s="525"/>
      <c r="OYS3" s="525"/>
      <c r="OYT3" s="525"/>
      <c r="OYU3" s="525"/>
      <c r="OYV3" s="525"/>
      <c r="OYW3" s="525"/>
      <c r="OYX3" s="525"/>
      <c r="OYY3" s="525"/>
      <c r="OYZ3" s="525"/>
      <c r="OZA3" s="525"/>
      <c r="OZB3" s="525"/>
      <c r="OZC3" s="525"/>
      <c r="OZD3" s="525"/>
      <c r="OZE3" s="525"/>
      <c r="OZF3" s="525"/>
      <c r="OZG3" s="525"/>
      <c r="OZH3" s="525"/>
      <c r="OZI3" s="525"/>
      <c r="OZJ3" s="525"/>
      <c r="OZK3" s="525"/>
      <c r="OZL3" s="525"/>
      <c r="OZM3" s="525"/>
      <c r="OZN3" s="525"/>
      <c r="OZO3" s="525"/>
      <c r="OZP3" s="525"/>
      <c r="OZQ3" s="525"/>
      <c r="OZR3" s="525"/>
      <c r="OZS3" s="525"/>
      <c r="OZT3" s="525"/>
      <c r="OZU3" s="525"/>
      <c r="OZV3" s="525"/>
      <c r="OZW3" s="525"/>
      <c r="OZX3" s="525"/>
      <c r="OZY3" s="525"/>
      <c r="OZZ3" s="525"/>
      <c r="PAA3" s="525"/>
      <c r="PAB3" s="525"/>
      <c r="PAC3" s="525"/>
      <c r="PAD3" s="525"/>
      <c r="PAE3" s="525"/>
      <c r="PAF3" s="525"/>
      <c r="PAG3" s="525"/>
      <c r="PAH3" s="525"/>
      <c r="PAI3" s="525"/>
      <c r="PAJ3" s="525"/>
      <c r="PAK3" s="525"/>
      <c r="PAL3" s="525"/>
      <c r="PAM3" s="525"/>
      <c r="PAN3" s="525"/>
      <c r="PAO3" s="525"/>
      <c r="PAP3" s="525"/>
      <c r="PAQ3" s="525"/>
      <c r="PAR3" s="525"/>
      <c r="PAS3" s="525"/>
      <c r="PAT3" s="525"/>
      <c r="PAU3" s="525"/>
      <c r="PAV3" s="525"/>
      <c r="PAW3" s="525"/>
      <c r="PAX3" s="525"/>
      <c r="PAY3" s="525"/>
      <c r="PAZ3" s="525"/>
      <c r="PBA3" s="525"/>
      <c r="PBB3" s="525"/>
      <c r="PBC3" s="525"/>
      <c r="PBD3" s="525"/>
      <c r="PBE3" s="525"/>
      <c r="PBF3" s="525"/>
      <c r="PBG3" s="525"/>
      <c r="PBH3" s="525"/>
      <c r="PBI3" s="525"/>
      <c r="PBJ3" s="525"/>
      <c r="PBK3" s="525"/>
      <c r="PBL3" s="525"/>
      <c r="PBM3" s="525"/>
      <c r="PBN3" s="525"/>
      <c r="PBO3" s="525"/>
      <c r="PBP3" s="525"/>
      <c r="PBQ3" s="525"/>
      <c r="PBR3" s="525"/>
      <c r="PBS3" s="525"/>
      <c r="PBT3" s="525"/>
      <c r="PBU3" s="525"/>
      <c r="PBV3" s="525"/>
      <c r="PBW3" s="525"/>
      <c r="PBX3" s="525"/>
      <c r="PBY3" s="525"/>
      <c r="PBZ3" s="525"/>
      <c r="PCA3" s="525"/>
      <c r="PCB3" s="525"/>
      <c r="PCC3" s="525"/>
      <c r="PCD3" s="525"/>
      <c r="PCE3" s="525"/>
      <c r="PCF3" s="525"/>
      <c r="PCG3" s="525"/>
      <c r="PCH3" s="525"/>
      <c r="PCI3" s="525"/>
      <c r="PCJ3" s="525"/>
      <c r="PCK3" s="525"/>
      <c r="PCL3" s="525"/>
      <c r="PCM3" s="525"/>
      <c r="PCN3" s="525"/>
      <c r="PCO3" s="525"/>
      <c r="PCP3" s="525"/>
      <c r="PCQ3" s="525"/>
      <c r="PCR3" s="525"/>
      <c r="PCS3" s="525"/>
      <c r="PCT3" s="525"/>
      <c r="PCU3" s="525"/>
      <c r="PCV3" s="525"/>
      <c r="PCW3" s="525"/>
      <c r="PCX3" s="525"/>
      <c r="PCY3" s="525"/>
      <c r="PCZ3" s="525"/>
      <c r="PDA3" s="525"/>
      <c r="PDB3" s="525"/>
      <c r="PDC3" s="525"/>
      <c r="PDD3" s="525"/>
      <c r="PDE3" s="525"/>
      <c r="PDF3" s="525"/>
      <c r="PDG3" s="525"/>
      <c r="PDH3" s="525"/>
      <c r="PDI3" s="525"/>
      <c r="PDJ3" s="525"/>
      <c r="PDK3" s="525"/>
      <c r="PDL3" s="525"/>
      <c r="PDM3" s="525"/>
      <c r="PDN3" s="525"/>
      <c r="PDO3" s="525"/>
      <c r="PDP3" s="525"/>
      <c r="PDQ3" s="525"/>
      <c r="PDR3" s="525"/>
      <c r="PDS3" s="525"/>
      <c r="PDT3" s="525"/>
      <c r="PDU3" s="525"/>
      <c r="PDV3" s="525"/>
      <c r="PDW3" s="525"/>
      <c r="PDX3" s="525"/>
      <c r="PDY3" s="525"/>
      <c r="PDZ3" s="525"/>
      <c r="PEA3" s="525"/>
      <c r="PEB3" s="525"/>
      <c r="PEC3" s="525"/>
      <c r="PED3" s="525"/>
      <c r="PEE3" s="525"/>
      <c r="PEF3" s="525"/>
      <c r="PEG3" s="525"/>
      <c r="PEH3" s="525"/>
      <c r="PEI3" s="525"/>
      <c r="PEJ3" s="525"/>
      <c r="PEK3" s="525"/>
      <c r="PEL3" s="525"/>
      <c r="PEM3" s="525"/>
      <c r="PEN3" s="525"/>
      <c r="PEO3" s="525"/>
      <c r="PEP3" s="525"/>
      <c r="PEQ3" s="525"/>
      <c r="PER3" s="525"/>
      <c r="PES3" s="525"/>
      <c r="PET3" s="525"/>
      <c r="PEU3" s="525"/>
      <c r="PEV3" s="525"/>
      <c r="PEW3" s="525"/>
      <c r="PEX3" s="525"/>
      <c r="PEY3" s="525"/>
      <c r="PEZ3" s="525"/>
      <c r="PFA3" s="525"/>
      <c r="PFB3" s="525"/>
      <c r="PFC3" s="525"/>
      <c r="PFD3" s="525"/>
      <c r="PFE3" s="525"/>
      <c r="PFF3" s="525"/>
      <c r="PFG3" s="525"/>
      <c r="PFH3" s="525"/>
      <c r="PFI3" s="525"/>
      <c r="PFJ3" s="525"/>
      <c r="PFK3" s="525"/>
      <c r="PFL3" s="525"/>
      <c r="PFM3" s="525"/>
      <c r="PFN3" s="525"/>
      <c r="PFO3" s="525"/>
      <c r="PFP3" s="525"/>
      <c r="PFQ3" s="525"/>
      <c r="PFR3" s="525"/>
      <c r="PFS3" s="525"/>
      <c r="PFT3" s="525"/>
      <c r="PFU3" s="525"/>
      <c r="PFV3" s="525"/>
      <c r="PFW3" s="525"/>
      <c r="PFX3" s="525"/>
      <c r="PFY3" s="525"/>
      <c r="PFZ3" s="525"/>
      <c r="PGA3" s="525"/>
      <c r="PGB3" s="525"/>
      <c r="PGC3" s="525"/>
      <c r="PGD3" s="525"/>
      <c r="PGE3" s="525"/>
      <c r="PGF3" s="525"/>
      <c r="PGG3" s="525"/>
      <c r="PGH3" s="525"/>
      <c r="PGI3" s="525"/>
      <c r="PGJ3" s="525"/>
      <c r="PGK3" s="525"/>
      <c r="PGL3" s="525"/>
      <c r="PGM3" s="525"/>
      <c r="PGN3" s="525"/>
      <c r="PGO3" s="525"/>
      <c r="PGP3" s="525"/>
      <c r="PGQ3" s="525"/>
      <c r="PGR3" s="525"/>
      <c r="PGS3" s="525"/>
      <c r="PGT3" s="525"/>
      <c r="PGU3" s="525"/>
      <c r="PGV3" s="525"/>
      <c r="PGW3" s="525"/>
      <c r="PGX3" s="525"/>
      <c r="PGY3" s="525"/>
      <c r="PGZ3" s="525"/>
      <c r="PHA3" s="525"/>
      <c r="PHB3" s="525"/>
      <c r="PHC3" s="525"/>
      <c r="PHD3" s="525"/>
      <c r="PHE3" s="525"/>
      <c r="PHF3" s="525"/>
      <c r="PHG3" s="525"/>
      <c r="PHH3" s="525"/>
      <c r="PHI3" s="525"/>
      <c r="PHJ3" s="525"/>
      <c r="PHK3" s="525"/>
      <c r="PHL3" s="525"/>
      <c r="PHM3" s="525"/>
      <c r="PHN3" s="525"/>
      <c r="PHO3" s="525"/>
      <c r="PHP3" s="525"/>
      <c r="PHQ3" s="525"/>
      <c r="PHR3" s="525"/>
      <c r="PHS3" s="525"/>
      <c r="PHT3" s="525"/>
      <c r="PHU3" s="525"/>
      <c r="PHV3" s="525"/>
      <c r="PHW3" s="525"/>
      <c r="PHX3" s="525"/>
      <c r="PHY3" s="525"/>
      <c r="PHZ3" s="525"/>
      <c r="PIA3" s="525"/>
      <c r="PIB3" s="525"/>
      <c r="PIC3" s="525"/>
      <c r="PID3" s="525"/>
      <c r="PIE3" s="525"/>
      <c r="PIF3" s="525"/>
      <c r="PIG3" s="525"/>
      <c r="PIH3" s="525"/>
      <c r="PII3" s="525"/>
      <c r="PIJ3" s="525"/>
      <c r="PIK3" s="525"/>
      <c r="PIL3" s="525"/>
      <c r="PIM3" s="525"/>
      <c r="PIN3" s="525"/>
      <c r="PIO3" s="525"/>
      <c r="PIP3" s="525"/>
      <c r="PIQ3" s="525"/>
      <c r="PIR3" s="525"/>
      <c r="PIS3" s="525"/>
      <c r="PIT3" s="525"/>
      <c r="PIU3" s="525"/>
      <c r="PIV3" s="525"/>
      <c r="PIW3" s="525"/>
      <c r="PIX3" s="525"/>
      <c r="PIY3" s="525"/>
      <c r="PIZ3" s="525"/>
      <c r="PJA3" s="525"/>
      <c r="PJB3" s="525"/>
      <c r="PJC3" s="525"/>
      <c r="PJD3" s="525"/>
      <c r="PJE3" s="525"/>
      <c r="PJF3" s="525"/>
      <c r="PJG3" s="525"/>
      <c r="PJH3" s="525"/>
      <c r="PJI3" s="525"/>
      <c r="PJJ3" s="525"/>
      <c r="PJK3" s="525"/>
      <c r="PJL3" s="525"/>
      <c r="PJM3" s="525"/>
      <c r="PJN3" s="525"/>
      <c r="PJO3" s="525"/>
      <c r="PJP3" s="525"/>
      <c r="PJQ3" s="525"/>
      <c r="PJR3" s="525"/>
      <c r="PJS3" s="525"/>
      <c r="PJT3" s="525"/>
      <c r="PJU3" s="525"/>
      <c r="PJV3" s="525"/>
      <c r="PJW3" s="525"/>
      <c r="PJX3" s="525"/>
      <c r="PJY3" s="525"/>
      <c r="PJZ3" s="525"/>
      <c r="PKA3" s="525"/>
      <c r="PKB3" s="525"/>
      <c r="PKC3" s="525"/>
      <c r="PKD3" s="525"/>
      <c r="PKE3" s="525"/>
      <c r="PKF3" s="525"/>
      <c r="PKG3" s="525"/>
      <c r="PKH3" s="525"/>
      <c r="PKI3" s="525"/>
      <c r="PKJ3" s="525"/>
      <c r="PKK3" s="525"/>
      <c r="PKL3" s="525"/>
      <c r="PKM3" s="525"/>
      <c r="PKN3" s="525"/>
      <c r="PKO3" s="525"/>
      <c r="PKP3" s="525"/>
      <c r="PKQ3" s="525"/>
      <c r="PKR3" s="525"/>
      <c r="PKS3" s="525"/>
      <c r="PKT3" s="525"/>
      <c r="PKU3" s="525"/>
      <c r="PKV3" s="525"/>
      <c r="PKW3" s="525"/>
      <c r="PKX3" s="525"/>
      <c r="PKY3" s="525"/>
      <c r="PKZ3" s="525"/>
      <c r="PLA3" s="525"/>
      <c r="PLB3" s="525"/>
      <c r="PLC3" s="525"/>
      <c r="PLD3" s="525"/>
      <c r="PLE3" s="525"/>
      <c r="PLF3" s="525"/>
      <c r="PLG3" s="525"/>
      <c r="PLH3" s="525"/>
      <c r="PLI3" s="525"/>
      <c r="PLJ3" s="525"/>
      <c r="PLK3" s="525"/>
      <c r="PLL3" s="525"/>
      <c r="PLM3" s="525"/>
      <c r="PLN3" s="525"/>
      <c r="PLO3" s="525"/>
      <c r="PLP3" s="525"/>
      <c r="PLQ3" s="525"/>
      <c r="PLR3" s="525"/>
      <c r="PLS3" s="525"/>
      <c r="PLT3" s="525"/>
      <c r="PLU3" s="525"/>
      <c r="PLV3" s="525"/>
      <c r="PLW3" s="525"/>
      <c r="PLX3" s="525"/>
      <c r="PLY3" s="525"/>
      <c r="PLZ3" s="525"/>
      <c r="PMA3" s="525"/>
      <c r="PMB3" s="525"/>
      <c r="PMC3" s="525"/>
      <c r="PMD3" s="525"/>
      <c r="PME3" s="525"/>
      <c r="PMF3" s="525"/>
      <c r="PMG3" s="525"/>
      <c r="PMH3" s="525"/>
      <c r="PMI3" s="525"/>
      <c r="PMJ3" s="525"/>
      <c r="PMK3" s="525"/>
      <c r="PML3" s="525"/>
      <c r="PMM3" s="525"/>
      <c r="PMN3" s="525"/>
      <c r="PMO3" s="525"/>
      <c r="PMP3" s="525"/>
      <c r="PMQ3" s="525"/>
      <c r="PMR3" s="525"/>
      <c r="PMS3" s="525"/>
      <c r="PMT3" s="525"/>
      <c r="PMU3" s="525"/>
      <c r="PMV3" s="525"/>
      <c r="PMW3" s="525"/>
      <c r="PMX3" s="525"/>
      <c r="PMY3" s="525"/>
      <c r="PMZ3" s="525"/>
      <c r="PNA3" s="525"/>
      <c r="PNB3" s="525"/>
      <c r="PNC3" s="525"/>
      <c r="PND3" s="525"/>
      <c r="PNE3" s="525"/>
      <c r="PNF3" s="525"/>
      <c r="PNG3" s="525"/>
      <c r="PNH3" s="525"/>
      <c r="PNI3" s="525"/>
      <c r="PNJ3" s="525"/>
      <c r="PNK3" s="525"/>
      <c r="PNL3" s="525"/>
      <c r="PNM3" s="525"/>
      <c r="PNN3" s="525"/>
      <c r="PNO3" s="525"/>
      <c r="PNP3" s="525"/>
      <c r="PNQ3" s="525"/>
      <c r="PNR3" s="525"/>
      <c r="PNS3" s="525"/>
      <c r="PNT3" s="525"/>
      <c r="PNU3" s="525"/>
      <c r="PNV3" s="525"/>
      <c r="PNW3" s="525"/>
      <c r="PNX3" s="525"/>
      <c r="PNY3" s="525"/>
      <c r="PNZ3" s="525"/>
      <c r="POA3" s="525"/>
      <c r="POB3" s="525"/>
      <c r="POC3" s="525"/>
      <c r="POD3" s="525"/>
      <c r="POE3" s="525"/>
      <c r="POF3" s="525"/>
      <c r="POG3" s="525"/>
      <c r="POH3" s="525"/>
      <c r="POI3" s="525"/>
      <c r="POJ3" s="525"/>
      <c r="POK3" s="525"/>
      <c r="POL3" s="525"/>
      <c r="POM3" s="525"/>
      <c r="PON3" s="525"/>
      <c r="POO3" s="525"/>
      <c r="POP3" s="525"/>
      <c r="POQ3" s="525"/>
      <c r="POR3" s="525"/>
      <c r="POS3" s="525"/>
      <c r="POT3" s="525"/>
      <c r="POU3" s="525"/>
      <c r="POV3" s="525"/>
      <c r="POW3" s="525"/>
      <c r="POX3" s="525"/>
      <c r="POY3" s="525"/>
      <c r="POZ3" s="525"/>
      <c r="PPA3" s="525"/>
      <c r="PPB3" s="525"/>
      <c r="PPC3" s="525"/>
      <c r="PPD3" s="525"/>
      <c r="PPE3" s="525"/>
      <c r="PPF3" s="525"/>
      <c r="PPG3" s="525"/>
      <c r="PPH3" s="525"/>
      <c r="PPI3" s="525"/>
      <c r="PPJ3" s="525"/>
      <c r="PPK3" s="525"/>
      <c r="PPL3" s="525"/>
      <c r="PPM3" s="525"/>
      <c r="PPN3" s="525"/>
      <c r="PPO3" s="525"/>
      <c r="PPP3" s="525"/>
      <c r="PPQ3" s="525"/>
      <c r="PPR3" s="525"/>
      <c r="PPS3" s="525"/>
      <c r="PPT3" s="525"/>
      <c r="PPU3" s="525"/>
      <c r="PPV3" s="525"/>
      <c r="PPW3" s="525"/>
      <c r="PPX3" s="525"/>
      <c r="PPY3" s="525"/>
      <c r="PPZ3" s="525"/>
      <c r="PQA3" s="525"/>
      <c r="PQB3" s="525"/>
      <c r="PQC3" s="525"/>
      <c r="PQD3" s="525"/>
      <c r="PQE3" s="525"/>
      <c r="PQF3" s="525"/>
      <c r="PQG3" s="525"/>
      <c r="PQH3" s="525"/>
      <c r="PQI3" s="525"/>
      <c r="PQJ3" s="525"/>
      <c r="PQK3" s="525"/>
      <c r="PQL3" s="525"/>
      <c r="PQM3" s="525"/>
      <c r="PQN3" s="525"/>
      <c r="PQO3" s="525"/>
      <c r="PQP3" s="525"/>
      <c r="PQQ3" s="525"/>
      <c r="PQR3" s="525"/>
      <c r="PQS3" s="525"/>
      <c r="PQT3" s="525"/>
      <c r="PQU3" s="525"/>
      <c r="PQV3" s="525"/>
      <c r="PQW3" s="525"/>
      <c r="PQX3" s="525"/>
      <c r="PQY3" s="525"/>
      <c r="PQZ3" s="525"/>
      <c r="PRA3" s="525"/>
      <c r="PRB3" s="525"/>
      <c r="PRC3" s="525"/>
      <c r="PRD3" s="525"/>
      <c r="PRE3" s="525"/>
      <c r="PRF3" s="525"/>
      <c r="PRG3" s="525"/>
      <c r="PRH3" s="525"/>
      <c r="PRI3" s="525"/>
      <c r="PRJ3" s="525"/>
      <c r="PRK3" s="525"/>
      <c r="PRL3" s="525"/>
      <c r="PRM3" s="525"/>
      <c r="PRN3" s="525"/>
      <c r="PRO3" s="525"/>
      <c r="PRP3" s="525"/>
      <c r="PRQ3" s="525"/>
      <c r="PRR3" s="525"/>
      <c r="PRS3" s="525"/>
      <c r="PRT3" s="525"/>
      <c r="PRU3" s="525"/>
      <c r="PRV3" s="525"/>
      <c r="PRW3" s="525"/>
      <c r="PRX3" s="525"/>
      <c r="PRY3" s="525"/>
      <c r="PRZ3" s="525"/>
      <c r="PSA3" s="525"/>
      <c r="PSB3" s="525"/>
      <c r="PSC3" s="525"/>
      <c r="PSD3" s="525"/>
      <c r="PSE3" s="525"/>
      <c r="PSF3" s="525"/>
      <c r="PSG3" s="525"/>
      <c r="PSH3" s="525"/>
      <c r="PSI3" s="525"/>
      <c r="PSJ3" s="525"/>
      <c r="PSK3" s="525"/>
      <c r="PSL3" s="525"/>
      <c r="PSM3" s="525"/>
      <c r="PSN3" s="525"/>
      <c r="PSO3" s="525"/>
      <c r="PSP3" s="525"/>
      <c r="PSQ3" s="525"/>
      <c r="PSR3" s="525"/>
      <c r="PSS3" s="525"/>
      <c r="PST3" s="525"/>
      <c r="PSU3" s="525"/>
      <c r="PSV3" s="525"/>
      <c r="PSW3" s="525"/>
      <c r="PSX3" s="525"/>
      <c r="PSY3" s="525"/>
      <c r="PSZ3" s="525"/>
      <c r="PTA3" s="525"/>
      <c r="PTB3" s="525"/>
      <c r="PTC3" s="525"/>
      <c r="PTD3" s="525"/>
      <c r="PTE3" s="525"/>
      <c r="PTF3" s="525"/>
      <c r="PTG3" s="525"/>
      <c r="PTH3" s="525"/>
      <c r="PTI3" s="525"/>
      <c r="PTJ3" s="525"/>
      <c r="PTK3" s="525"/>
      <c r="PTL3" s="525"/>
      <c r="PTM3" s="525"/>
      <c r="PTN3" s="525"/>
      <c r="PTO3" s="525"/>
      <c r="PTP3" s="525"/>
      <c r="PTQ3" s="525"/>
      <c r="PTR3" s="525"/>
      <c r="PTS3" s="525"/>
      <c r="PTT3" s="525"/>
      <c r="PTU3" s="525"/>
      <c r="PTV3" s="525"/>
      <c r="PTW3" s="525"/>
      <c r="PTX3" s="525"/>
      <c r="PTY3" s="525"/>
      <c r="PTZ3" s="525"/>
      <c r="PUA3" s="525"/>
      <c r="PUB3" s="525"/>
      <c r="PUC3" s="525"/>
      <c r="PUD3" s="525"/>
      <c r="PUE3" s="525"/>
      <c r="PUF3" s="525"/>
      <c r="PUG3" s="525"/>
      <c r="PUH3" s="525"/>
      <c r="PUI3" s="525"/>
      <c r="PUJ3" s="525"/>
      <c r="PUK3" s="525"/>
      <c r="PUL3" s="525"/>
      <c r="PUM3" s="525"/>
      <c r="PUN3" s="525"/>
      <c r="PUO3" s="525"/>
      <c r="PUP3" s="525"/>
      <c r="PUQ3" s="525"/>
      <c r="PUR3" s="525"/>
      <c r="PUS3" s="525"/>
      <c r="PUT3" s="525"/>
      <c r="PUU3" s="525"/>
      <c r="PUV3" s="525"/>
      <c r="PUW3" s="525"/>
      <c r="PUX3" s="525"/>
      <c r="PUY3" s="525"/>
      <c r="PUZ3" s="525"/>
      <c r="PVA3" s="525"/>
      <c r="PVB3" s="525"/>
      <c r="PVC3" s="525"/>
      <c r="PVD3" s="525"/>
      <c r="PVE3" s="525"/>
      <c r="PVF3" s="525"/>
      <c r="PVG3" s="525"/>
      <c r="PVH3" s="525"/>
      <c r="PVI3" s="525"/>
      <c r="PVJ3" s="525"/>
      <c r="PVK3" s="525"/>
      <c r="PVL3" s="525"/>
      <c r="PVM3" s="525"/>
      <c r="PVN3" s="525"/>
      <c r="PVO3" s="525"/>
      <c r="PVP3" s="525"/>
      <c r="PVQ3" s="525"/>
      <c r="PVR3" s="525"/>
      <c r="PVS3" s="525"/>
      <c r="PVT3" s="525"/>
      <c r="PVU3" s="525"/>
      <c r="PVV3" s="525"/>
      <c r="PVW3" s="525"/>
      <c r="PVX3" s="525"/>
      <c r="PVY3" s="525"/>
      <c r="PVZ3" s="525"/>
      <c r="PWA3" s="525"/>
      <c r="PWB3" s="525"/>
      <c r="PWC3" s="525"/>
      <c r="PWD3" s="525"/>
      <c r="PWE3" s="525"/>
      <c r="PWF3" s="525"/>
      <c r="PWG3" s="525"/>
      <c r="PWH3" s="525"/>
      <c r="PWI3" s="525"/>
      <c r="PWJ3" s="525"/>
      <c r="PWK3" s="525"/>
      <c r="PWL3" s="525"/>
      <c r="PWM3" s="525"/>
      <c r="PWN3" s="525"/>
      <c r="PWO3" s="525"/>
      <c r="PWP3" s="525"/>
      <c r="PWQ3" s="525"/>
      <c r="PWR3" s="525"/>
      <c r="PWS3" s="525"/>
      <c r="PWT3" s="525"/>
      <c r="PWU3" s="525"/>
      <c r="PWV3" s="525"/>
      <c r="PWW3" s="525"/>
      <c r="PWX3" s="525"/>
      <c r="PWY3" s="525"/>
      <c r="PWZ3" s="525"/>
      <c r="PXA3" s="525"/>
      <c r="PXB3" s="525"/>
      <c r="PXC3" s="525"/>
      <c r="PXD3" s="525"/>
      <c r="PXE3" s="525"/>
      <c r="PXF3" s="525"/>
      <c r="PXG3" s="525"/>
      <c r="PXH3" s="525"/>
      <c r="PXI3" s="525"/>
      <c r="PXJ3" s="525"/>
      <c r="PXK3" s="525"/>
      <c r="PXL3" s="525"/>
      <c r="PXM3" s="525"/>
      <c r="PXN3" s="525"/>
      <c r="PXO3" s="525"/>
      <c r="PXP3" s="525"/>
      <c r="PXQ3" s="525"/>
      <c r="PXR3" s="525"/>
      <c r="PXS3" s="525"/>
      <c r="PXT3" s="525"/>
      <c r="PXU3" s="525"/>
      <c r="PXV3" s="525"/>
      <c r="PXW3" s="525"/>
      <c r="PXX3" s="525"/>
      <c r="PXY3" s="525"/>
      <c r="PXZ3" s="525"/>
      <c r="PYA3" s="525"/>
      <c r="PYB3" s="525"/>
      <c r="PYC3" s="525"/>
      <c r="PYD3" s="525"/>
      <c r="PYE3" s="525"/>
      <c r="PYF3" s="525"/>
      <c r="PYG3" s="525"/>
      <c r="PYH3" s="525"/>
      <c r="PYI3" s="525"/>
      <c r="PYJ3" s="525"/>
      <c r="PYK3" s="525"/>
      <c r="PYL3" s="525"/>
      <c r="PYM3" s="525"/>
      <c r="PYN3" s="525"/>
      <c r="PYO3" s="525"/>
      <c r="PYP3" s="525"/>
      <c r="PYQ3" s="525"/>
      <c r="PYR3" s="525"/>
      <c r="PYS3" s="525"/>
      <c r="PYT3" s="525"/>
      <c r="PYU3" s="525"/>
      <c r="PYV3" s="525"/>
      <c r="PYW3" s="525"/>
      <c r="PYX3" s="525"/>
      <c r="PYY3" s="525"/>
      <c r="PYZ3" s="525"/>
      <c r="PZA3" s="525"/>
      <c r="PZB3" s="525"/>
      <c r="PZC3" s="525"/>
      <c r="PZD3" s="525"/>
      <c r="PZE3" s="525"/>
      <c r="PZF3" s="525"/>
      <c r="PZG3" s="525"/>
      <c r="PZH3" s="525"/>
      <c r="PZI3" s="525"/>
      <c r="PZJ3" s="525"/>
      <c r="PZK3" s="525"/>
      <c r="PZL3" s="525"/>
      <c r="PZM3" s="525"/>
      <c r="PZN3" s="525"/>
      <c r="PZO3" s="525"/>
      <c r="PZP3" s="525"/>
      <c r="PZQ3" s="525"/>
      <c r="PZR3" s="525"/>
      <c r="PZS3" s="525"/>
      <c r="PZT3" s="525"/>
      <c r="PZU3" s="525"/>
      <c r="PZV3" s="525"/>
      <c r="PZW3" s="525"/>
      <c r="PZX3" s="525"/>
      <c r="PZY3" s="525"/>
      <c r="PZZ3" s="525"/>
      <c r="QAA3" s="525"/>
      <c r="QAB3" s="525"/>
      <c r="QAC3" s="525"/>
      <c r="QAD3" s="525"/>
      <c r="QAE3" s="525"/>
      <c r="QAF3" s="525"/>
      <c r="QAG3" s="525"/>
      <c r="QAH3" s="525"/>
      <c r="QAI3" s="525"/>
      <c r="QAJ3" s="525"/>
      <c r="QAK3" s="525"/>
      <c r="QAL3" s="525"/>
      <c r="QAM3" s="525"/>
      <c r="QAN3" s="525"/>
      <c r="QAO3" s="525"/>
      <c r="QAP3" s="525"/>
      <c r="QAQ3" s="525"/>
      <c r="QAR3" s="525"/>
      <c r="QAS3" s="525"/>
      <c r="QAT3" s="525"/>
      <c r="QAU3" s="525"/>
      <c r="QAV3" s="525"/>
      <c r="QAW3" s="525"/>
      <c r="QAX3" s="525"/>
      <c r="QAY3" s="525"/>
      <c r="QAZ3" s="525"/>
      <c r="QBA3" s="525"/>
      <c r="QBB3" s="525"/>
      <c r="QBC3" s="525"/>
      <c r="QBD3" s="525"/>
      <c r="QBE3" s="525"/>
      <c r="QBF3" s="525"/>
      <c r="QBG3" s="525"/>
      <c r="QBH3" s="525"/>
      <c r="QBI3" s="525"/>
      <c r="QBJ3" s="525"/>
      <c r="QBK3" s="525"/>
      <c r="QBL3" s="525"/>
      <c r="QBM3" s="525"/>
      <c r="QBN3" s="525"/>
      <c r="QBO3" s="525"/>
      <c r="QBP3" s="525"/>
      <c r="QBQ3" s="525"/>
      <c r="QBR3" s="525"/>
      <c r="QBS3" s="525"/>
      <c r="QBT3" s="525"/>
      <c r="QBU3" s="525"/>
      <c r="QBV3" s="525"/>
      <c r="QBW3" s="525"/>
      <c r="QBX3" s="525"/>
      <c r="QBY3" s="525"/>
      <c r="QBZ3" s="525"/>
      <c r="QCA3" s="525"/>
      <c r="QCB3" s="525"/>
      <c r="QCC3" s="525"/>
      <c r="QCD3" s="525"/>
      <c r="QCE3" s="525"/>
      <c r="QCF3" s="525"/>
      <c r="QCG3" s="525"/>
      <c r="QCH3" s="525"/>
      <c r="QCI3" s="525"/>
      <c r="QCJ3" s="525"/>
      <c r="QCK3" s="525"/>
      <c r="QCL3" s="525"/>
      <c r="QCM3" s="525"/>
      <c r="QCN3" s="525"/>
      <c r="QCO3" s="525"/>
      <c r="QCP3" s="525"/>
      <c r="QCQ3" s="525"/>
      <c r="QCR3" s="525"/>
      <c r="QCS3" s="525"/>
      <c r="QCT3" s="525"/>
      <c r="QCU3" s="525"/>
      <c r="QCV3" s="525"/>
      <c r="QCW3" s="525"/>
      <c r="QCX3" s="525"/>
      <c r="QCY3" s="525"/>
      <c r="QCZ3" s="525"/>
      <c r="QDA3" s="525"/>
      <c r="QDB3" s="525"/>
      <c r="QDC3" s="525"/>
      <c r="QDD3" s="525"/>
      <c r="QDE3" s="525"/>
      <c r="QDF3" s="525"/>
      <c r="QDG3" s="525"/>
      <c r="QDH3" s="525"/>
      <c r="QDI3" s="525"/>
      <c r="QDJ3" s="525"/>
      <c r="QDK3" s="525"/>
      <c r="QDL3" s="525"/>
      <c r="QDM3" s="525"/>
      <c r="QDN3" s="525"/>
      <c r="QDO3" s="525"/>
      <c r="QDP3" s="525"/>
      <c r="QDQ3" s="525"/>
      <c r="QDR3" s="525"/>
      <c r="QDS3" s="525"/>
      <c r="QDT3" s="525"/>
      <c r="QDU3" s="525"/>
      <c r="QDV3" s="525"/>
      <c r="QDW3" s="525"/>
      <c r="QDX3" s="525"/>
      <c r="QDY3" s="525"/>
      <c r="QDZ3" s="525"/>
      <c r="QEA3" s="525"/>
      <c r="QEB3" s="525"/>
      <c r="QEC3" s="525"/>
      <c r="QED3" s="525"/>
      <c r="QEE3" s="525"/>
      <c r="QEF3" s="525"/>
      <c r="QEG3" s="525"/>
      <c r="QEH3" s="525"/>
      <c r="QEI3" s="525"/>
      <c r="QEJ3" s="525"/>
      <c r="QEK3" s="525"/>
      <c r="QEL3" s="525"/>
      <c r="QEM3" s="525"/>
      <c r="QEN3" s="525"/>
      <c r="QEO3" s="525"/>
      <c r="QEP3" s="525"/>
      <c r="QEQ3" s="525"/>
      <c r="QER3" s="525"/>
      <c r="QES3" s="525"/>
      <c r="QET3" s="525"/>
      <c r="QEU3" s="525"/>
      <c r="QEV3" s="525"/>
      <c r="QEW3" s="525"/>
      <c r="QEX3" s="525"/>
      <c r="QEY3" s="525"/>
      <c r="QEZ3" s="525"/>
      <c r="QFA3" s="525"/>
      <c r="QFB3" s="525"/>
      <c r="QFC3" s="525"/>
      <c r="QFD3" s="525"/>
      <c r="QFE3" s="525"/>
      <c r="QFF3" s="525"/>
      <c r="QFG3" s="525"/>
      <c r="QFH3" s="525"/>
      <c r="QFI3" s="525"/>
      <c r="QFJ3" s="525"/>
      <c r="QFK3" s="525"/>
      <c r="QFL3" s="525"/>
      <c r="QFM3" s="525"/>
      <c r="QFN3" s="525"/>
      <c r="QFO3" s="525"/>
      <c r="QFP3" s="525"/>
      <c r="QFQ3" s="525"/>
      <c r="QFR3" s="525"/>
      <c r="QFS3" s="525"/>
      <c r="QFT3" s="525"/>
      <c r="QFU3" s="525"/>
      <c r="QFV3" s="525"/>
      <c r="QFW3" s="525"/>
      <c r="QFX3" s="525"/>
      <c r="QFY3" s="525"/>
      <c r="QFZ3" s="525"/>
      <c r="QGA3" s="525"/>
      <c r="QGB3" s="525"/>
      <c r="QGC3" s="525"/>
      <c r="QGD3" s="525"/>
      <c r="QGE3" s="525"/>
      <c r="QGF3" s="525"/>
      <c r="QGG3" s="525"/>
      <c r="QGH3" s="525"/>
      <c r="QGI3" s="525"/>
      <c r="QGJ3" s="525"/>
      <c r="QGK3" s="525"/>
      <c r="QGL3" s="525"/>
      <c r="QGM3" s="525"/>
      <c r="QGN3" s="525"/>
      <c r="QGO3" s="525"/>
      <c r="QGP3" s="525"/>
      <c r="QGQ3" s="525"/>
      <c r="QGR3" s="525"/>
      <c r="QGS3" s="525"/>
      <c r="QGT3" s="525"/>
      <c r="QGU3" s="525"/>
      <c r="QGV3" s="525"/>
      <c r="QGW3" s="525"/>
      <c r="QGX3" s="525"/>
      <c r="QGY3" s="525"/>
      <c r="QGZ3" s="525"/>
      <c r="QHA3" s="525"/>
      <c r="QHB3" s="525"/>
      <c r="QHC3" s="525"/>
      <c r="QHD3" s="525"/>
      <c r="QHE3" s="525"/>
      <c r="QHF3" s="525"/>
      <c r="QHG3" s="525"/>
      <c r="QHH3" s="525"/>
      <c r="QHI3" s="525"/>
      <c r="QHJ3" s="525"/>
      <c r="QHK3" s="525"/>
      <c r="QHL3" s="525"/>
      <c r="QHM3" s="525"/>
      <c r="QHN3" s="525"/>
      <c r="QHO3" s="525"/>
      <c r="QHP3" s="525"/>
      <c r="QHQ3" s="525"/>
      <c r="QHR3" s="525"/>
      <c r="QHS3" s="525"/>
      <c r="QHT3" s="525"/>
      <c r="QHU3" s="525"/>
      <c r="QHV3" s="525"/>
      <c r="QHW3" s="525"/>
      <c r="QHX3" s="525"/>
      <c r="QHY3" s="525"/>
      <c r="QHZ3" s="525"/>
      <c r="QIA3" s="525"/>
      <c r="QIB3" s="525"/>
      <c r="QIC3" s="525"/>
      <c r="QID3" s="525"/>
      <c r="QIE3" s="525"/>
      <c r="QIF3" s="525"/>
      <c r="QIG3" s="525"/>
      <c r="QIH3" s="525"/>
      <c r="QII3" s="525"/>
      <c r="QIJ3" s="525"/>
      <c r="QIK3" s="525"/>
      <c r="QIL3" s="525"/>
      <c r="QIM3" s="525"/>
      <c r="QIN3" s="525"/>
      <c r="QIO3" s="525"/>
      <c r="QIP3" s="525"/>
      <c r="QIQ3" s="525"/>
      <c r="QIR3" s="525"/>
      <c r="QIS3" s="525"/>
      <c r="QIT3" s="525"/>
      <c r="QIU3" s="525"/>
      <c r="QIV3" s="525"/>
      <c r="QIW3" s="525"/>
      <c r="QIX3" s="525"/>
      <c r="QIY3" s="525"/>
      <c r="QIZ3" s="525"/>
      <c r="QJA3" s="525"/>
      <c r="QJB3" s="525"/>
      <c r="QJC3" s="525"/>
      <c r="QJD3" s="525"/>
      <c r="QJE3" s="525"/>
      <c r="QJF3" s="525"/>
      <c r="QJG3" s="525"/>
      <c r="QJH3" s="525"/>
      <c r="QJI3" s="525"/>
      <c r="QJJ3" s="525"/>
      <c r="QJK3" s="525"/>
      <c r="QJL3" s="525"/>
      <c r="QJM3" s="525"/>
      <c r="QJN3" s="525"/>
      <c r="QJO3" s="525"/>
      <c r="QJP3" s="525"/>
      <c r="QJQ3" s="525"/>
      <c r="QJR3" s="525"/>
      <c r="QJS3" s="525"/>
      <c r="QJT3" s="525"/>
      <c r="QJU3" s="525"/>
      <c r="QJV3" s="525"/>
      <c r="QJW3" s="525"/>
      <c r="QJX3" s="525"/>
      <c r="QJY3" s="525"/>
      <c r="QJZ3" s="525"/>
      <c r="QKA3" s="525"/>
      <c r="QKB3" s="525"/>
      <c r="QKC3" s="525"/>
      <c r="QKD3" s="525"/>
      <c r="QKE3" s="525"/>
      <c r="QKF3" s="525"/>
      <c r="QKG3" s="525"/>
      <c r="QKH3" s="525"/>
      <c r="QKI3" s="525"/>
      <c r="QKJ3" s="525"/>
      <c r="QKK3" s="525"/>
      <c r="QKL3" s="525"/>
      <c r="QKM3" s="525"/>
      <c r="QKN3" s="525"/>
      <c r="QKO3" s="525"/>
      <c r="QKP3" s="525"/>
      <c r="QKQ3" s="525"/>
      <c r="QKR3" s="525"/>
      <c r="QKS3" s="525"/>
      <c r="QKT3" s="525"/>
      <c r="QKU3" s="525"/>
      <c r="QKV3" s="525"/>
      <c r="QKW3" s="525"/>
      <c r="QKX3" s="525"/>
      <c r="QKY3" s="525"/>
      <c r="QKZ3" s="525"/>
      <c r="QLA3" s="525"/>
      <c r="QLB3" s="525"/>
      <c r="QLC3" s="525"/>
      <c r="QLD3" s="525"/>
      <c r="QLE3" s="525"/>
      <c r="QLF3" s="525"/>
      <c r="QLG3" s="525"/>
      <c r="QLH3" s="525"/>
      <c r="QLI3" s="525"/>
      <c r="QLJ3" s="525"/>
      <c r="QLK3" s="525"/>
      <c r="QLL3" s="525"/>
      <c r="QLM3" s="525"/>
      <c r="QLN3" s="525"/>
      <c r="QLO3" s="525"/>
      <c r="QLP3" s="525"/>
      <c r="QLQ3" s="525"/>
      <c r="QLR3" s="525"/>
      <c r="QLS3" s="525"/>
      <c r="QLT3" s="525"/>
      <c r="QLU3" s="525"/>
      <c r="QLV3" s="525"/>
      <c r="QLW3" s="525"/>
      <c r="QLX3" s="525"/>
      <c r="QLY3" s="525"/>
      <c r="QLZ3" s="525"/>
      <c r="QMA3" s="525"/>
      <c r="QMB3" s="525"/>
      <c r="QMC3" s="525"/>
      <c r="QMD3" s="525"/>
      <c r="QME3" s="525"/>
      <c r="QMF3" s="525"/>
      <c r="QMG3" s="525"/>
      <c r="QMH3" s="525"/>
      <c r="QMI3" s="525"/>
      <c r="QMJ3" s="525"/>
      <c r="QMK3" s="525"/>
      <c r="QML3" s="525"/>
      <c r="QMM3" s="525"/>
      <c r="QMN3" s="525"/>
      <c r="QMO3" s="525"/>
      <c r="QMP3" s="525"/>
      <c r="QMQ3" s="525"/>
      <c r="QMR3" s="525"/>
      <c r="QMS3" s="525"/>
      <c r="QMT3" s="525"/>
      <c r="QMU3" s="525"/>
      <c r="QMV3" s="525"/>
      <c r="QMW3" s="525"/>
      <c r="QMX3" s="525"/>
      <c r="QMY3" s="525"/>
      <c r="QMZ3" s="525"/>
      <c r="QNA3" s="525"/>
      <c r="QNB3" s="525"/>
      <c r="QNC3" s="525"/>
      <c r="QND3" s="525"/>
      <c r="QNE3" s="525"/>
      <c r="QNF3" s="525"/>
      <c r="QNG3" s="525"/>
      <c r="QNH3" s="525"/>
      <c r="QNI3" s="525"/>
      <c r="QNJ3" s="525"/>
      <c r="QNK3" s="525"/>
      <c r="QNL3" s="525"/>
      <c r="QNM3" s="525"/>
      <c r="QNN3" s="525"/>
      <c r="QNO3" s="525"/>
      <c r="QNP3" s="525"/>
      <c r="QNQ3" s="525"/>
      <c r="QNR3" s="525"/>
      <c r="QNS3" s="525"/>
      <c r="QNT3" s="525"/>
      <c r="QNU3" s="525"/>
      <c r="QNV3" s="525"/>
      <c r="QNW3" s="525"/>
      <c r="QNX3" s="525"/>
      <c r="QNY3" s="525"/>
      <c r="QNZ3" s="525"/>
      <c r="QOA3" s="525"/>
      <c r="QOB3" s="525"/>
      <c r="QOC3" s="525"/>
      <c r="QOD3" s="525"/>
      <c r="QOE3" s="525"/>
      <c r="QOF3" s="525"/>
      <c r="QOG3" s="525"/>
      <c r="QOH3" s="525"/>
      <c r="QOI3" s="525"/>
      <c r="QOJ3" s="525"/>
      <c r="QOK3" s="525"/>
      <c r="QOL3" s="525"/>
      <c r="QOM3" s="525"/>
      <c r="QON3" s="525"/>
      <c r="QOO3" s="525"/>
      <c r="QOP3" s="525"/>
      <c r="QOQ3" s="525"/>
      <c r="QOR3" s="525"/>
      <c r="QOS3" s="525"/>
      <c r="QOT3" s="525"/>
      <c r="QOU3" s="525"/>
      <c r="QOV3" s="525"/>
      <c r="QOW3" s="525"/>
      <c r="QOX3" s="525"/>
      <c r="QOY3" s="525"/>
      <c r="QOZ3" s="525"/>
      <c r="QPA3" s="525"/>
      <c r="QPB3" s="525"/>
      <c r="QPC3" s="525"/>
      <c r="QPD3" s="525"/>
      <c r="QPE3" s="525"/>
      <c r="QPF3" s="525"/>
      <c r="QPG3" s="525"/>
      <c r="QPH3" s="525"/>
      <c r="QPI3" s="525"/>
      <c r="QPJ3" s="525"/>
      <c r="QPK3" s="525"/>
      <c r="QPL3" s="525"/>
      <c r="QPM3" s="525"/>
      <c r="QPN3" s="525"/>
      <c r="QPO3" s="525"/>
      <c r="QPP3" s="525"/>
      <c r="QPQ3" s="525"/>
      <c r="QPR3" s="525"/>
      <c r="QPS3" s="525"/>
      <c r="QPT3" s="525"/>
      <c r="QPU3" s="525"/>
      <c r="QPV3" s="525"/>
      <c r="QPW3" s="525"/>
      <c r="QPX3" s="525"/>
      <c r="QPY3" s="525"/>
      <c r="QPZ3" s="525"/>
      <c r="QQA3" s="525"/>
      <c r="QQB3" s="525"/>
      <c r="QQC3" s="525"/>
      <c r="QQD3" s="525"/>
      <c r="QQE3" s="525"/>
      <c r="QQF3" s="525"/>
      <c r="QQG3" s="525"/>
      <c r="QQH3" s="525"/>
      <c r="QQI3" s="525"/>
      <c r="QQJ3" s="525"/>
      <c r="QQK3" s="525"/>
      <c r="QQL3" s="525"/>
      <c r="QQM3" s="525"/>
      <c r="QQN3" s="525"/>
      <c r="QQO3" s="525"/>
      <c r="QQP3" s="525"/>
      <c r="QQQ3" s="525"/>
      <c r="QQR3" s="525"/>
      <c r="QQS3" s="525"/>
      <c r="QQT3" s="525"/>
      <c r="QQU3" s="525"/>
      <c r="QQV3" s="525"/>
      <c r="QQW3" s="525"/>
      <c r="QQX3" s="525"/>
      <c r="QQY3" s="525"/>
      <c r="QQZ3" s="525"/>
      <c r="QRA3" s="525"/>
      <c r="QRB3" s="525"/>
      <c r="QRC3" s="525"/>
      <c r="QRD3" s="525"/>
      <c r="QRE3" s="525"/>
      <c r="QRF3" s="525"/>
      <c r="QRG3" s="525"/>
      <c r="QRH3" s="525"/>
      <c r="QRI3" s="525"/>
      <c r="QRJ3" s="525"/>
      <c r="QRK3" s="525"/>
      <c r="QRL3" s="525"/>
      <c r="QRM3" s="525"/>
      <c r="QRN3" s="525"/>
      <c r="QRO3" s="525"/>
      <c r="QRP3" s="525"/>
      <c r="QRQ3" s="525"/>
      <c r="QRR3" s="525"/>
      <c r="QRS3" s="525"/>
      <c r="QRT3" s="525"/>
      <c r="QRU3" s="525"/>
      <c r="QRV3" s="525"/>
      <c r="QRW3" s="525"/>
      <c r="QRX3" s="525"/>
      <c r="QRY3" s="525"/>
      <c r="QRZ3" s="525"/>
      <c r="QSA3" s="525"/>
      <c r="QSB3" s="525"/>
      <c r="QSC3" s="525"/>
      <c r="QSD3" s="525"/>
      <c r="QSE3" s="525"/>
      <c r="QSF3" s="525"/>
      <c r="QSG3" s="525"/>
      <c r="QSH3" s="525"/>
      <c r="QSI3" s="525"/>
      <c r="QSJ3" s="525"/>
      <c r="QSK3" s="525"/>
      <c r="QSL3" s="525"/>
      <c r="QSM3" s="525"/>
      <c r="QSN3" s="525"/>
      <c r="QSO3" s="525"/>
      <c r="QSP3" s="525"/>
      <c r="QSQ3" s="525"/>
      <c r="QSR3" s="525"/>
      <c r="QSS3" s="525"/>
      <c r="QST3" s="525"/>
      <c r="QSU3" s="525"/>
      <c r="QSV3" s="525"/>
      <c r="QSW3" s="525"/>
      <c r="QSX3" s="525"/>
      <c r="QSY3" s="525"/>
      <c r="QSZ3" s="525"/>
      <c r="QTA3" s="525"/>
      <c r="QTB3" s="525"/>
      <c r="QTC3" s="525"/>
      <c r="QTD3" s="525"/>
      <c r="QTE3" s="525"/>
      <c r="QTF3" s="525"/>
      <c r="QTG3" s="525"/>
      <c r="QTH3" s="525"/>
      <c r="QTI3" s="525"/>
      <c r="QTJ3" s="525"/>
      <c r="QTK3" s="525"/>
      <c r="QTL3" s="525"/>
      <c r="QTM3" s="525"/>
      <c r="QTN3" s="525"/>
      <c r="QTO3" s="525"/>
      <c r="QTP3" s="525"/>
      <c r="QTQ3" s="525"/>
      <c r="QTR3" s="525"/>
      <c r="QTS3" s="525"/>
      <c r="QTT3" s="525"/>
      <c r="QTU3" s="525"/>
      <c r="QTV3" s="525"/>
      <c r="QTW3" s="525"/>
      <c r="QTX3" s="525"/>
      <c r="QTY3" s="525"/>
      <c r="QTZ3" s="525"/>
      <c r="QUA3" s="525"/>
      <c r="QUB3" s="525"/>
      <c r="QUC3" s="525"/>
      <c r="QUD3" s="525"/>
      <c r="QUE3" s="525"/>
      <c r="QUF3" s="525"/>
      <c r="QUG3" s="525"/>
      <c r="QUH3" s="525"/>
      <c r="QUI3" s="525"/>
      <c r="QUJ3" s="525"/>
      <c r="QUK3" s="525"/>
      <c r="QUL3" s="525"/>
      <c r="QUM3" s="525"/>
      <c r="QUN3" s="525"/>
      <c r="QUO3" s="525"/>
      <c r="QUP3" s="525"/>
      <c r="QUQ3" s="525"/>
      <c r="QUR3" s="525"/>
      <c r="QUS3" s="525"/>
      <c r="QUT3" s="525"/>
      <c r="QUU3" s="525"/>
      <c r="QUV3" s="525"/>
      <c r="QUW3" s="525"/>
      <c r="QUX3" s="525"/>
      <c r="QUY3" s="525"/>
      <c r="QUZ3" s="525"/>
      <c r="QVA3" s="525"/>
      <c r="QVB3" s="525"/>
      <c r="QVC3" s="525"/>
      <c r="QVD3" s="525"/>
      <c r="QVE3" s="525"/>
      <c r="QVF3" s="525"/>
      <c r="QVG3" s="525"/>
      <c r="QVH3" s="525"/>
      <c r="QVI3" s="525"/>
      <c r="QVJ3" s="525"/>
      <c r="QVK3" s="525"/>
      <c r="QVL3" s="525"/>
      <c r="QVM3" s="525"/>
      <c r="QVN3" s="525"/>
      <c r="QVO3" s="525"/>
      <c r="QVP3" s="525"/>
      <c r="QVQ3" s="525"/>
      <c r="QVR3" s="525"/>
      <c r="QVS3" s="525"/>
      <c r="QVT3" s="525"/>
      <c r="QVU3" s="525"/>
      <c r="QVV3" s="525"/>
      <c r="QVW3" s="525"/>
      <c r="QVX3" s="525"/>
      <c r="QVY3" s="525"/>
      <c r="QVZ3" s="525"/>
      <c r="QWA3" s="525"/>
      <c r="QWB3" s="525"/>
      <c r="QWC3" s="525"/>
      <c r="QWD3" s="525"/>
      <c r="QWE3" s="525"/>
      <c r="QWF3" s="525"/>
      <c r="QWG3" s="525"/>
      <c r="QWH3" s="525"/>
      <c r="QWI3" s="525"/>
      <c r="QWJ3" s="525"/>
      <c r="QWK3" s="525"/>
      <c r="QWL3" s="525"/>
      <c r="QWM3" s="525"/>
      <c r="QWN3" s="525"/>
      <c r="QWO3" s="525"/>
      <c r="QWP3" s="525"/>
      <c r="QWQ3" s="525"/>
      <c r="QWR3" s="525"/>
      <c r="QWS3" s="525"/>
      <c r="QWT3" s="525"/>
      <c r="QWU3" s="525"/>
      <c r="QWV3" s="525"/>
      <c r="QWW3" s="525"/>
      <c r="QWX3" s="525"/>
      <c r="QWY3" s="525"/>
      <c r="QWZ3" s="525"/>
      <c r="QXA3" s="525"/>
      <c r="QXB3" s="525"/>
      <c r="QXC3" s="525"/>
      <c r="QXD3" s="525"/>
      <c r="QXE3" s="525"/>
      <c r="QXF3" s="525"/>
      <c r="QXG3" s="525"/>
      <c r="QXH3" s="525"/>
      <c r="QXI3" s="525"/>
      <c r="QXJ3" s="525"/>
      <c r="QXK3" s="525"/>
      <c r="QXL3" s="525"/>
      <c r="QXM3" s="525"/>
      <c r="QXN3" s="525"/>
      <c r="QXO3" s="525"/>
      <c r="QXP3" s="525"/>
      <c r="QXQ3" s="525"/>
      <c r="QXR3" s="525"/>
      <c r="QXS3" s="525"/>
      <c r="QXT3" s="525"/>
      <c r="QXU3" s="525"/>
      <c r="QXV3" s="525"/>
      <c r="QXW3" s="525"/>
      <c r="QXX3" s="525"/>
      <c r="QXY3" s="525"/>
      <c r="QXZ3" s="525"/>
      <c r="QYA3" s="525"/>
      <c r="QYB3" s="525"/>
      <c r="QYC3" s="525"/>
      <c r="QYD3" s="525"/>
      <c r="QYE3" s="525"/>
      <c r="QYF3" s="525"/>
      <c r="QYG3" s="525"/>
      <c r="QYH3" s="525"/>
      <c r="QYI3" s="525"/>
      <c r="QYJ3" s="525"/>
      <c r="QYK3" s="525"/>
      <c r="QYL3" s="525"/>
      <c r="QYM3" s="525"/>
      <c r="QYN3" s="525"/>
      <c r="QYO3" s="525"/>
      <c r="QYP3" s="525"/>
      <c r="QYQ3" s="525"/>
      <c r="QYR3" s="525"/>
      <c r="QYS3" s="525"/>
      <c r="QYT3" s="525"/>
      <c r="QYU3" s="525"/>
      <c r="QYV3" s="525"/>
      <c r="QYW3" s="525"/>
      <c r="QYX3" s="525"/>
      <c r="QYY3" s="525"/>
      <c r="QYZ3" s="525"/>
      <c r="QZA3" s="525"/>
      <c r="QZB3" s="525"/>
      <c r="QZC3" s="525"/>
      <c r="QZD3" s="525"/>
      <c r="QZE3" s="525"/>
      <c r="QZF3" s="525"/>
      <c r="QZG3" s="525"/>
      <c r="QZH3" s="525"/>
      <c r="QZI3" s="525"/>
      <c r="QZJ3" s="525"/>
      <c r="QZK3" s="525"/>
      <c r="QZL3" s="525"/>
      <c r="QZM3" s="525"/>
      <c r="QZN3" s="525"/>
      <c r="QZO3" s="525"/>
      <c r="QZP3" s="525"/>
      <c r="QZQ3" s="525"/>
      <c r="QZR3" s="525"/>
      <c r="QZS3" s="525"/>
      <c r="QZT3" s="525"/>
      <c r="QZU3" s="525"/>
      <c r="QZV3" s="525"/>
      <c r="QZW3" s="525"/>
      <c r="QZX3" s="525"/>
      <c r="QZY3" s="525"/>
      <c r="QZZ3" s="525"/>
      <c r="RAA3" s="525"/>
      <c r="RAB3" s="525"/>
      <c r="RAC3" s="525"/>
      <c r="RAD3" s="525"/>
      <c r="RAE3" s="525"/>
      <c r="RAF3" s="525"/>
      <c r="RAG3" s="525"/>
      <c r="RAH3" s="525"/>
      <c r="RAI3" s="525"/>
      <c r="RAJ3" s="525"/>
      <c r="RAK3" s="525"/>
      <c r="RAL3" s="525"/>
      <c r="RAM3" s="525"/>
      <c r="RAN3" s="525"/>
      <c r="RAO3" s="525"/>
      <c r="RAP3" s="525"/>
      <c r="RAQ3" s="525"/>
      <c r="RAR3" s="525"/>
      <c r="RAS3" s="525"/>
      <c r="RAT3" s="525"/>
      <c r="RAU3" s="525"/>
      <c r="RAV3" s="525"/>
      <c r="RAW3" s="525"/>
      <c r="RAX3" s="525"/>
      <c r="RAY3" s="525"/>
      <c r="RAZ3" s="525"/>
      <c r="RBA3" s="525"/>
      <c r="RBB3" s="525"/>
      <c r="RBC3" s="525"/>
      <c r="RBD3" s="525"/>
      <c r="RBE3" s="525"/>
      <c r="RBF3" s="525"/>
      <c r="RBG3" s="525"/>
      <c r="RBH3" s="525"/>
      <c r="RBI3" s="525"/>
      <c r="RBJ3" s="525"/>
      <c r="RBK3" s="525"/>
      <c r="RBL3" s="525"/>
      <c r="RBM3" s="525"/>
      <c r="RBN3" s="525"/>
      <c r="RBO3" s="525"/>
      <c r="RBP3" s="525"/>
      <c r="RBQ3" s="525"/>
      <c r="RBR3" s="525"/>
      <c r="RBS3" s="525"/>
      <c r="RBT3" s="525"/>
      <c r="RBU3" s="525"/>
      <c r="RBV3" s="525"/>
      <c r="RBW3" s="525"/>
      <c r="RBX3" s="525"/>
      <c r="RBY3" s="525"/>
      <c r="RBZ3" s="525"/>
      <c r="RCA3" s="525"/>
      <c r="RCB3" s="525"/>
      <c r="RCC3" s="525"/>
      <c r="RCD3" s="525"/>
      <c r="RCE3" s="525"/>
      <c r="RCF3" s="525"/>
      <c r="RCG3" s="525"/>
      <c r="RCH3" s="525"/>
      <c r="RCI3" s="525"/>
      <c r="RCJ3" s="525"/>
      <c r="RCK3" s="525"/>
      <c r="RCL3" s="525"/>
      <c r="RCM3" s="525"/>
      <c r="RCN3" s="525"/>
      <c r="RCO3" s="525"/>
      <c r="RCP3" s="525"/>
      <c r="RCQ3" s="525"/>
      <c r="RCR3" s="525"/>
      <c r="RCS3" s="525"/>
      <c r="RCT3" s="525"/>
      <c r="RCU3" s="525"/>
      <c r="RCV3" s="525"/>
      <c r="RCW3" s="525"/>
      <c r="RCX3" s="525"/>
      <c r="RCY3" s="525"/>
      <c r="RCZ3" s="525"/>
      <c r="RDA3" s="525"/>
      <c r="RDB3" s="525"/>
      <c r="RDC3" s="525"/>
      <c r="RDD3" s="525"/>
      <c r="RDE3" s="525"/>
      <c r="RDF3" s="525"/>
      <c r="RDG3" s="525"/>
      <c r="RDH3" s="525"/>
      <c r="RDI3" s="525"/>
      <c r="RDJ3" s="525"/>
      <c r="RDK3" s="525"/>
      <c r="RDL3" s="525"/>
      <c r="RDM3" s="525"/>
      <c r="RDN3" s="525"/>
      <c r="RDO3" s="525"/>
      <c r="RDP3" s="525"/>
      <c r="RDQ3" s="525"/>
      <c r="RDR3" s="525"/>
      <c r="RDS3" s="525"/>
      <c r="RDT3" s="525"/>
      <c r="RDU3" s="525"/>
      <c r="RDV3" s="525"/>
      <c r="RDW3" s="525"/>
      <c r="RDX3" s="525"/>
      <c r="RDY3" s="525"/>
      <c r="RDZ3" s="525"/>
      <c r="REA3" s="525"/>
      <c r="REB3" s="525"/>
      <c r="REC3" s="525"/>
      <c r="RED3" s="525"/>
      <c r="REE3" s="525"/>
      <c r="REF3" s="525"/>
      <c r="REG3" s="525"/>
      <c r="REH3" s="525"/>
      <c r="REI3" s="525"/>
      <c r="REJ3" s="525"/>
      <c r="REK3" s="525"/>
      <c r="REL3" s="525"/>
      <c r="REM3" s="525"/>
      <c r="REN3" s="525"/>
      <c r="REO3" s="525"/>
      <c r="REP3" s="525"/>
      <c r="REQ3" s="525"/>
      <c r="RER3" s="525"/>
      <c r="RES3" s="525"/>
      <c r="RET3" s="525"/>
      <c r="REU3" s="525"/>
      <c r="REV3" s="525"/>
      <c r="REW3" s="525"/>
      <c r="REX3" s="525"/>
      <c r="REY3" s="525"/>
      <c r="REZ3" s="525"/>
      <c r="RFA3" s="525"/>
      <c r="RFB3" s="525"/>
      <c r="RFC3" s="525"/>
      <c r="RFD3" s="525"/>
      <c r="RFE3" s="525"/>
      <c r="RFF3" s="525"/>
      <c r="RFG3" s="525"/>
      <c r="RFH3" s="525"/>
      <c r="RFI3" s="525"/>
      <c r="RFJ3" s="525"/>
      <c r="RFK3" s="525"/>
      <c r="RFL3" s="525"/>
      <c r="RFM3" s="525"/>
      <c r="RFN3" s="525"/>
      <c r="RFO3" s="525"/>
      <c r="RFP3" s="525"/>
      <c r="RFQ3" s="525"/>
      <c r="RFR3" s="525"/>
      <c r="RFS3" s="525"/>
      <c r="RFT3" s="525"/>
      <c r="RFU3" s="525"/>
      <c r="RFV3" s="525"/>
      <c r="RFW3" s="525"/>
      <c r="RFX3" s="525"/>
      <c r="RFY3" s="525"/>
      <c r="RFZ3" s="525"/>
      <c r="RGA3" s="525"/>
      <c r="RGB3" s="525"/>
      <c r="RGC3" s="525"/>
      <c r="RGD3" s="525"/>
      <c r="RGE3" s="525"/>
      <c r="RGF3" s="525"/>
      <c r="RGG3" s="525"/>
      <c r="RGH3" s="525"/>
      <c r="RGI3" s="525"/>
      <c r="RGJ3" s="525"/>
      <c r="RGK3" s="525"/>
      <c r="RGL3" s="525"/>
      <c r="RGM3" s="525"/>
      <c r="RGN3" s="525"/>
      <c r="RGO3" s="525"/>
      <c r="RGP3" s="525"/>
      <c r="RGQ3" s="525"/>
      <c r="RGR3" s="525"/>
      <c r="RGS3" s="525"/>
      <c r="RGT3" s="525"/>
      <c r="RGU3" s="525"/>
      <c r="RGV3" s="525"/>
      <c r="RGW3" s="525"/>
      <c r="RGX3" s="525"/>
      <c r="RGY3" s="525"/>
      <c r="RGZ3" s="525"/>
      <c r="RHA3" s="525"/>
      <c r="RHB3" s="525"/>
      <c r="RHC3" s="525"/>
      <c r="RHD3" s="525"/>
      <c r="RHE3" s="525"/>
      <c r="RHF3" s="525"/>
      <c r="RHG3" s="525"/>
      <c r="RHH3" s="525"/>
      <c r="RHI3" s="525"/>
      <c r="RHJ3" s="525"/>
      <c r="RHK3" s="525"/>
      <c r="RHL3" s="525"/>
      <c r="RHM3" s="525"/>
      <c r="RHN3" s="525"/>
      <c r="RHO3" s="525"/>
      <c r="RHP3" s="525"/>
      <c r="RHQ3" s="525"/>
      <c r="RHR3" s="525"/>
      <c r="RHS3" s="525"/>
      <c r="RHT3" s="525"/>
      <c r="RHU3" s="525"/>
      <c r="RHV3" s="525"/>
      <c r="RHW3" s="525"/>
      <c r="RHX3" s="525"/>
      <c r="RHY3" s="525"/>
      <c r="RHZ3" s="525"/>
      <c r="RIA3" s="525"/>
      <c r="RIB3" s="525"/>
      <c r="RIC3" s="525"/>
      <c r="RID3" s="525"/>
      <c r="RIE3" s="525"/>
      <c r="RIF3" s="525"/>
      <c r="RIG3" s="525"/>
      <c r="RIH3" s="525"/>
      <c r="RII3" s="525"/>
      <c r="RIJ3" s="525"/>
      <c r="RIK3" s="525"/>
      <c r="RIL3" s="525"/>
      <c r="RIM3" s="525"/>
      <c r="RIN3" s="525"/>
      <c r="RIO3" s="525"/>
      <c r="RIP3" s="525"/>
      <c r="RIQ3" s="525"/>
      <c r="RIR3" s="525"/>
      <c r="RIS3" s="525"/>
      <c r="RIT3" s="525"/>
      <c r="RIU3" s="525"/>
      <c r="RIV3" s="525"/>
      <c r="RIW3" s="525"/>
      <c r="RIX3" s="525"/>
      <c r="RIY3" s="525"/>
      <c r="RIZ3" s="525"/>
      <c r="RJA3" s="525"/>
      <c r="RJB3" s="525"/>
      <c r="RJC3" s="525"/>
      <c r="RJD3" s="525"/>
      <c r="RJE3" s="525"/>
      <c r="RJF3" s="525"/>
      <c r="RJG3" s="525"/>
      <c r="RJH3" s="525"/>
      <c r="RJI3" s="525"/>
      <c r="RJJ3" s="525"/>
      <c r="RJK3" s="525"/>
      <c r="RJL3" s="525"/>
      <c r="RJM3" s="525"/>
      <c r="RJN3" s="525"/>
      <c r="RJO3" s="525"/>
      <c r="RJP3" s="525"/>
      <c r="RJQ3" s="525"/>
      <c r="RJR3" s="525"/>
      <c r="RJS3" s="525"/>
      <c r="RJT3" s="525"/>
      <c r="RJU3" s="525"/>
      <c r="RJV3" s="525"/>
      <c r="RJW3" s="525"/>
      <c r="RJX3" s="525"/>
      <c r="RJY3" s="525"/>
      <c r="RJZ3" s="525"/>
      <c r="RKA3" s="525"/>
      <c r="RKB3" s="525"/>
      <c r="RKC3" s="525"/>
      <c r="RKD3" s="525"/>
      <c r="RKE3" s="525"/>
      <c r="RKF3" s="525"/>
      <c r="RKG3" s="525"/>
      <c r="RKH3" s="525"/>
      <c r="RKI3" s="525"/>
      <c r="RKJ3" s="525"/>
      <c r="RKK3" s="525"/>
      <c r="RKL3" s="525"/>
      <c r="RKM3" s="525"/>
      <c r="RKN3" s="525"/>
      <c r="RKO3" s="525"/>
      <c r="RKP3" s="525"/>
      <c r="RKQ3" s="525"/>
      <c r="RKR3" s="525"/>
      <c r="RKS3" s="525"/>
      <c r="RKT3" s="525"/>
      <c r="RKU3" s="525"/>
      <c r="RKV3" s="525"/>
      <c r="RKW3" s="525"/>
      <c r="RKX3" s="525"/>
      <c r="RKY3" s="525"/>
      <c r="RKZ3" s="525"/>
      <c r="RLA3" s="525"/>
      <c r="RLB3" s="525"/>
      <c r="RLC3" s="525"/>
      <c r="RLD3" s="525"/>
      <c r="RLE3" s="525"/>
      <c r="RLF3" s="525"/>
      <c r="RLG3" s="525"/>
      <c r="RLH3" s="525"/>
      <c r="RLI3" s="525"/>
      <c r="RLJ3" s="525"/>
      <c r="RLK3" s="525"/>
      <c r="RLL3" s="525"/>
      <c r="RLM3" s="525"/>
      <c r="RLN3" s="525"/>
      <c r="RLO3" s="525"/>
      <c r="RLP3" s="525"/>
      <c r="RLQ3" s="525"/>
      <c r="RLR3" s="525"/>
      <c r="RLS3" s="525"/>
      <c r="RLT3" s="525"/>
      <c r="RLU3" s="525"/>
      <c r="RLV3" s="525"/>
      <c r="RLW3" s="525"/>
      <c r="RLX3" s="525"/>
      <c r="RLY3" s="525"/>
      <c r="RLZ3" s="525"/>
      <c r="RMA3" s="525"/>
      <c r="RMB3" s="525"/>
      <c r="RMC3" s="525"/>
      <c r="RMD3" s="525"/>
      <c r="RME3" s="525"/>
      <c r="RMF3" s="525"/>
      <c r="RMG3" s="525"/>
      <c r="RMH3" s="525"/>
      <c r="RMI3" s="525"/>
      <c r="RMJ3" s="525"/>
      <c r="RMK3" s="525"/>
      <c r="RML3" s="525"/>
      <c r="RMM3" s="525"/>
      <c r="RMN3" s="525"/>
      <c r="RMO3" s="525"/>
      <c r="RMP3" s="525"/>
      <c r="RMQ3" s="525"/>
      <c r="RMR3" s="525"/>
      <c r="RMS3" s="525"/>
      <c r="RMT3" s="525"/>
      <c r="RMU3" s="525"/>
      <c r="RMV3" s="525"/>
      <c r="RMW3" s="525"/>
      <c r="RMX3" s="525"/>
      <c r="RMY3" s="525"/>
      <c r="RMZ3" s="525"/>
      <c r="RNA3" s="525"/>
      <c r="RNB3" s="525"/>
      <c r="RNC3" s="525"/>
      <c r="RND3" s="525"/>
      <c r="RNE3" s="525"/>
      <c r="RNF3" s="525"/>
      <c r="RNG3" s="525"/>
      <c r="RNH3" s="525"/>
      <c r="RNI3" s="525"/>
      <c r="RNJ3" s="525"/>
      <c r="RNK3" s="525"/>
      <c r="RNL3" s="525"/>
      <c r="RNM3" s="525"/>
      <c r="RNN3" s="525"/>
      <c r="RNO3" s="525"/>
      <c r="RNP3" s="525"/>
      <c r="RNQ3" s="525"/>
      <c r="RNR3" s="525"/>
      <c r="RNS3" s="525"/>
      <c r="RNT3" s="525"/>
      <c r="RNU3" s="525"/>
      <c r="RNV3" s="525"/>
      <c r="RNW3" s="525"/>
      <c r="RNX3" s="525"/>
      <c r="RNY3" s="525"/>
      <c r="RNZ3" s="525"/>
      <c r="ROA3" s="525"/>
      <c r="ROB3" s="525"/>
      <c r="ROC3" s="525"/>
      <c r="ROD3" s="525"/>
      <c r="ROE3" s="525"/>
      <c r="ROF3" s="525"/>
      <c r="ROG3" s="525"/>
      <c r="ROH3" s="525"/>
      <c r="ROI3" s="525"/>
      <c r="ROJ3" s="525"/>
      <c r="ROK3" s="525"/>
      <c r="ROL3" s="525"/>
      <c r="ROM3" s="525"/>
      <c r="RON3" s="525"/>
      <c r="ROO3" s="525"/>
      <c r="ROP3" s="525"/>
      <c r="ROQ3" s="525"/>
      <c r="ROR3" s="525"/>
      <c r="ROS3" s="525"/>
      <c r="ROT3" s="525"/>
      <c r="ROU3" s="525"/>
      <c r="ROV3" s="525"/>
      <c r="ROW3" s="525"/>
      <c r="ROX3" s="525"/>
      <c r="ROY3" s="525"/>
      <c r="ROZ3" s="525"/>
      <c r="RPA3" s="525"/>
      <c r="RPB3" s="525"/>
      <c r="RPC3" s="525"/>
      <c r="RPD3" s="525"/>
      <c r="RPE3" s="525"/>
      <c r="RPF3" s="525"/>
      <c r="RPG3" s="525"/>
      <c r="RPH3" s="525"/>
      <c r="RPI3" s="525"/>
      <c r="RPJ3" s="525"/>
      <c r="RPK3" s="525"/>
      <c r="RPL3" s="525"/>
      <c r="RPM3" s="525"/>
      <c r="RPN3" s="525"/>
      <c r="RPO3" s="525"/>
      <c r="RPP3" s="525"/>
      <c r="RPQ3" s="525"/>
      <c r="RPR3" s="525"/>
      <c r="RPS3" s="525"/>
      <c r="RPT3" s="525"/>
      <c r="RPU3" s="525"/>
      <c r="RPV3" s="525"/>
      <c r="RPW3" s="525"/>
      <c r="RPX3" s="525"/>
      <c r="RPY3" s="525"/>
      <c r="RPZ3" s="525"/>
      <c r="RQA3" s="525"/>
      <c r="RQB3" s="525"/>
      <c r="RQC3" s="525"/>
      <c r="RQD3" s="525"/>
      <c r="RQE3" s="525"/>
      <c r="RQF3" s="525"/>
      <c r="RQG3" s="525"/>
      <c r="RQH3" s="525"/>
      <c r="RQI3" s="525"/>
      <c r="RQJ3" s="525"/>
      <c r="RQK3" s="525"/>
      <c r="RQL3" s="525"/>
      <c r="RQM3" s="525"/>
      <c r="RQN3" s="525"/>
      <c r="RQO3" s="525"/>
      <c r="RQP3" s="525"/>
      <c r="RQQ3" s="525"/>
      <c r="RQR3" s="525"/>
      <c r="RQS3" s="525"/>
      <c r="RQT3" s="525"/>
      <c r="RQU3" s="525"/>
      <c r="RQV3" s="525"/>
      <c r="RQW3" s="525"/>
      <c r="RQX3" s="525"/>
      <c r="RQY3" s="525"/>
      <c r="RQZ3" s="525"/>
      <c r="RRA3" s="525"/>
      <c r="RRB3" s="525"/>
      <c r="RRC3" s="525"/>
      <c r="RRD3" s="525"/>
      <c r="RRE3" s="525"/>
      <c r="RRF3" s="525"/>
      <c r="RRG3" s="525"/>
      <c r="RRH3" s="525"/>
      <c r="RRI3" s="525"/>
      <c r="RRJ3" s="525"/>
      <c r="RRK3" s="525"/>
      <c r="RRL3" s="525"/>
      <c r="RRM3" s="525"/>
      <c r="RRN3" s="525"/>
      <c r="RRO3" s="525"/>
      <c r="RRP3" s="525"/>
      <c r="RRQ3" s="525"/>
      <c r="RRR3" s="525"/>
      <c r="RRS3" s="525"/>
      <c r="RRT3" s="525"/>
      <c r="RRU3" s="525"/>
      <c r="RRV3" s="525"/>
      <c r="RRW3" s="525"/>
      <c r="RRX3" s="525"/>
      <c r="RRY3" s="525"/>
      <c r="RRZ3" s="525"/>
      <c r="RSA3" s="525"/>
      <c r="RSB3" s="525"/>
      <c r="RSC3" s="525"/>
      <c r="RSD3" s="525"/>
      <c r="RSE3" s="525"/>
      <c r="RSF3" s="525"/>
      <c r="RSG3" s="525"/>
      <c r="RSH3" s="525"/>
      <c r="RSI3" s="525"/>
      <c r="RSJ3" s="525"/>
      <c r="RSK3" s="525"/>
      <c r="RSL3" s="525"/>
      <c r="RSM3" s="525"/>
      <c r="RSN3" s="525"/>
      <c r="RSO3" s="525"/>
      <c r="RSP3" s="525"/>
      <c r="RSQ3" s="525"/>
      <c r="RSR3" s="525"/>
      <c r="RSS3" s="525"/>
      <c r="RST3" s="525"/>
      <c r="RSU3" s="525"/>
      <c r="RSV3" s="525"/>
      <c r="RSW3" s="525"/>
      <c r="RSX3" s="525"/>
      <c r="RSY3" s="525"/>
      <c r="RSZ3" s="525"/>
      <c r="RTA3" s="525"/>
      <c r="RTB3" s="525"/>
      <c r="RTC3" s="525"/>
      <c r="RTD3" s="525"/>
      <c r="RTE3" s="525"/>
      <c r="RTF3" s="525"/>
      <c r="RTG3" s="525"/>
      <c r="RTH3" s="525"/>
      <c r="RTI3" s="525"/>
      <c r="RTJ3" s="525"/>
      <c r="RTK3" s="525"/>
      <c r="RTL3" s="525"/>
      <c r="RTM3" s="525"/>
      <c r="RTN3" s="525"/>
      <c r="RTO3" s="525"/>
      <c r="RTP3" s="525"/>
      <c r="RTQ3" s="525"/>
      <c r="RTR3" s="525"/>
      <c r="RTS3" s="525"/>
      <c r="RTT3" s="525"/>
      <c r="RTU3" s="525"/>
      <c r="RTV3" s="525"/>
      <c r="RTW3" s="525"/>
      <c r="RTX3" s="525"/>
      <c r="RTY3" s="525"/>
      <c r="RTZ3" s="525"/>
      <c r="RUA3" s="525"/>
      <c r="RUB3" s="525"/>
      <c r="RUC3" s="525"/>
      <c r="RUD3" s="525"/>
      <c r="RUE3" s="525"/>
      <c r="RUF3" s="525"/>
      <c r="RUG3" s="525"/>
      <c r="RUH3" s="525"/>
      <c r="RUI3" s="525"/>
      <c r="RUJ3" s="525"/>
      <c r="RUK3" s="525"/>
      <c r="RUL3" s="525"/>
      <c r="RUM3" s="525"/>
      <c r="RUN3" s="525"/>
      <c r="RUO3" s="525"/>
      <c r="RUP3" s="525"/>
      <c r="RUQ3" s="525"/>
      <c r="RUR3" s="525"/>
      <c r="RUS3" s="525"/>
      <c r="RUT3" s="525"/>
      <c r="RUU3" s="525"/>
      <c r="RUV3" s="525"/>
      <c r="RUW3" s="525"/>
      <c r="RUX3" s="525"/>
      <c r="RUY3" s="525"/>
      <c r="RUZ3" s="525"/>
      <c r="RVA3" s="525"/>
      <c r="RVB3" s="525"/>
      <c r="RVC3" s="525"/>
      <c r="RVD3" s="525"/>
      <c r="RVE3" s="525"/>
      <c r="RVF3" s="525"/>
      <c r="RVG3" s="525"/>
      <c r="RVH3" s="525"/>
      <c r="RVI3" s="525"/>
      <c r="RVJ3" s="525"/>
      <c r="RVK3" s="525"/>
      <c r="RVL3" s="525"/>
      <c r="RVM3" s="525"/>
      <c r="RVN3" s="525"/>
      <c r="RVO3" s="525"/>
      <c r="RVP3" s="525"/>
      <c r="RVQ3" s="525"/>
      <c r="RVR3" s="525"/>
      <c r="RVS3" s="525"/>
      <c r="RVT3" s="525"/>
      <c r="RVU3" s="525"/>
      <c r="RVV3" s="525"/>
      <c r="RVW3" s="525"/>
      <c r="RVX3" s="525"/>
      <c r="RVY3" s="525"/>
      <c r="RVZ3" s="525"/>
      <c r="RWA3" s="525"/>
      <c r="RWB3" s="525"/>
      <c r="RWC3" s="525"/>
      <c r="RWD3" s="525"/>
      <c r="RWE3" s="525"/>
      <c r="RWF3" s="525"/>
      <c r="RWG3" s="525"/>
      <c r="RWH3" s="525"/>
      <c r="RWI3" s="525"/>
      <c r="RWJ3" s="525"/>
      <c r="RWK3" s="525"/>
      <c r="RWL3" s="525"/>
      <c r="RWM3" s="525"/>
      <c r="RWN3" s="525"/>
      <c r="RWO3" s="525"/>
      <c r="RWP3" s="525"/>
      <c r="RWQ3" s="525"/>
      <c r="RWR3" s="525"/>
      <c r="RWS3" s="525"/>
      <c r="RWT3" s="525"/>
      <c r="RWU3" s="525"/>
      <c r="RWV3" s="525"/>
      <c r="RWW3" s="525"/>
      <c r="RWX3" s="525"/>
      <c r="RWY3" s="525"/>
      <c r="RWZ3" s="525"/>
      <c r="RXA3" s="525"/>
      <c r="RXB3" s="525"/>
      <c r="RXC3" s="525"/>
      <c r="RXD3" s="525"/>
      <c r="RXE3" s="525"/>
      <c r="RXF3" s="525"/>
      <c r="RXG3" s="525"/>
      <c r="RXH3" s="525"/>
      <c r="RXI3" s="525"/>
      <c r="RXJ3" s="525"/>
      <c r="RXK3" s="525"/>
      <c r="RXL3" s="525"/>
      <c r="RXM3" s="525"/>
      <c r="RXN3" s="525"/>
      <c r="RXO3" s="525"/>
      <c r="RXP3" s="525"/>
      <c r="RXQ3" s="525"/>
      <c r="RXR3" s="525"/>
      <c r="RXS3" s="525"/>
      <c r="RXT3" s="525"/>
      <c r="RXU3" s="525"/>
      <c r="RXV3" s="525"/>
      <c r="RXW3" s="525"/>
      <c r="RXX3" s="525"/>
      <c r="RXY3" s="525"/>
      <c r="RXZ3" s="525"/>
      <c r="RYA3" s="525"/>
      <c r="RYB3" s="525"/>
      <c r="RYC3" s="525"/>
      <c r="RYD3" s="525"/>
      <c r="RYE3" s="525"/>
      <c r="RYF3" s="525"/>
      <c r="RYG3" s="525"/>
      <c r="RYH3" s="525"/>
      <c r="RYI3" s="525"/>
      <c r="RYJ3" s="525"/>
      <c r="RYK3" s="525"/>
      <c r="RYL3" s="525"/>
      <c r="RYM3" s="525"/>
      <c r="RYN3" s="525"/>
      <c r="RYO3" s="525"/>
      <c r="RYP3" s="525"/>
      <c r="RYQ3" s="525"/>
      <c r="RYR3" s="525"/>
      <c r="RYS3" s="525"/>
      <c r="RYT3" s="525"/>
      <c r="RYU3" s="525"/>
      <c r="RYV3" s="525"/>
      <c r="RYW3" s="525"/>
      <c r="RYX3" s="525"/>
      <c r="RYY3" s="525"/>
      <c r="RYZ3" s="525"/>
      <c r="RZA3" s="525"/>
      <c r="RZB3" s="525"/>
      <c r="RZC3" s="525"/>
      <c r="RZD3" s="525"/>
      <c r="RZE3" s="525"/>
      <c r="RZF3" s="525"/>
      <c r="RZG3" s="525"/>
      <c r="RZH3" s="525"/>
      <c r="RZI3" s="525"/>
      <c r="RZJ3" s="525"/>
      <c r="RZK3" s="525"/>
      <c r="RZL3" s="525"/>
      <c r="RZM3" s="525"/>
      <c r="RZN3" s="525"/>
      <c r="RZO3" s="525"/>
      <c r="RZP3" s="525"/>
      <c r="RZQ3" s="525"/>
      <c r="RZR3" s="525"/>
      <c r="RZS3" s="525"/>
      <c r="RZT3" s="525"/>
      <c r="RZU3" s="525"/>
      <c r="RZV3" s="525"/>
      <c r="RZW3" s="525"/>
      <c r="RZX3" s="525"/>
      <c r="RZY3" s="525"/>
      <c r="RZZ3" s="525"/>
      <c r="SAA3" s="525"/>
      <c r="SAB3" s="525"/>
      <c r="SAC3" s="525"/>
      <c r="SAD3" s="525"/>
      <c r="SAE3" s="525"/>
      <c r="SAF3" s="525"/>
      <c r="SAG3" s="525"/>
      <c r="SAH3" s="525"/>
      <c r="SAI3" s="525"/>
      <c r="SAJ3" s="525"/>
      <c r="SAK3" s="525"/>
      <c r="SAL3" s="525"/>
      <c r="SAM3" s="525"/>
      <c r="SAN3" s="525"/>
      <c r="SAO3" s="525"/>
      <c r="SAP3" s="525"/>
      <c r="SAQ3" s="525"/>
      <c r="SAR3" s="525"/>
      <c r="SAS3" s="525"/>
      <c r="SAT3" s="525"/>
      <c r="SAU3" s="525"/>
      <c r="SAV3" s="525"/>
      <c r="SAW3" s="525"/>
      <c r="SAX3" s="525"/>
      <c r="SAY3" s="525"/>
      <c r="SAZ3" s="525"/>
      <c r="SBA3" s="525"/>
      <c r="SBB3" s="525"/>
      <c r="SBC3" s="525"/>
      <c r="SBD3" s="525"/>
      <c r="SBE3" s="525"/>
      <c r="SBF3" s="525"/>
      <c r="SBG3" s="525"/>
      <c r="SBH3" s="525"/>
      <c r="SBI3" s="525"/>
      <c r="SBJ3" s="525"/>
      <c r="SBK3" s="525"/>
      <c r="SBL3" s="525"/>
      <c r="SBM3" s="525"/>
      <c r="SBN3" s="525"/>
      <c r="SBO3" s="525"/>
      <c r="SBP3" s="525"/>
      <c r="SBQ3" s="525"/>
      <c r="SBR3" s="525"/>
      <c r="SBS3" s="525"/>
      <c r="SBT3" s="525"/>
      <c r="SBU3" s="525"/>
      <c r="SBV3" s="525"/>
      <c r="SBW3" s="525"/>
      <c r="SBX3" s="525"/>
      <c r="SBY3" s="525"/>
      <c r="SBZ3" s="525"/>
      <c r="SCA3" s="525"/>
      <c r="SCB3" s="525"/>
      <c r="SCC3" s="525"/>
      <c r="SCD3" s="525"/>
      <c r="SCE3" s="525"/>
      <c r="SCF3" s="525"/>
      <c r="SCG3" s="525"/>
      <c r="SCH3" s="525"/>
      <c r="SCI3" s="525"/>
      <c r="SCJ3" s="525"/>
      <c r="SCK3" s="525"/>
      <c r="SCL3" s="525"/>
      <c r="SCM3" s="525"/>
      <c r="SCN3" s="525"/>
      <c r="SCO3" s="525"/>
      <c r="SCP3" s="525"/>
      <c r="SCQ3" s="525"/>
      <c r="SCR3" s="525"/>
      <c r="SCS3" s="525"/>
      <c r="SCT3" s="525"/>
      <c r="SCU3" s="525"/>
      <c r="SCV3" s="525"/>
      <c r="SCW3" s="525"/>
      <c r="SCX3" s="525"/>
      <c r="SCY3" s="525"/>
      <c r="SCZ3" s="525"/>
      <c r="SDA3" s="525"/>
      <c r="SDB3" s="525"/>
      <c r="SDC3" s="525"/>
      <c r="SDD3" s="525"/>
      <c r="SDE3" s="525"/>
      <c r="SDF3" s="525"/>
      <c r="SDG3" s="525"/>
      <c r="SDH3" s="525"/>
      <c r="SDI3" s="525"/>
      <c r="SDJ3" s="525"/>
      <c r="SDK3" s="525"/>
      <c r="SDL3" s="525"/>
      <c r="SDM3" s="525"/>
      <c r="SDN3" s="525"/>
      <c r="SDO3" s="525"/>
      <c r="SDP3" s="525"/>
      <c r="SDQ3" s="525"/>
      <c r="SDR3" s="525"/>
      <c r="SDS3" s="525"/>
      <c r="SDT3" s="525"/>
      <c r="SDU3" s="525"/>
      <c r="SDV3" s="525"/>
      <c r="SDW3" s="525"/>
      <c r="SDX3" s="525"/>
      <c r="SDY3" s="525"/>
      <c r="SDZ3" s="525"/>
      <c r="SEA3" s="525"/>
      <c r="SEB3" s="525"/>
      <c r="SEC3" s="525"/>
      <c r="SED3" s="525"/>
      <c r="SEE3" s="525"/>
      <c r="SEF3" s="525"/>
      <c r="SEG3" s="525"/>
      <c r="SEH3" s="525"/>
      <c r="SEI3" s="525"/>
      <c r="SEJ3" s="525"/>
      <c r="SEK3" s="525"/>
      <c r="SEL3" s="525"/>
      <c r="SEM3" s="525"/>
      <c r="SEN3" s="525"/>
      <c r="SEO3" s="525"/>
      <c r="SEP3" s="525"/>
      <c r="SEQ3" s="525"/>
      <c r="SER3" s="525"/>
      <c r="SES3" s="525"/>
      <c r="SET3" s="525"/>
      <c r="SEU3" s="525"/>
      <c r="SEV3" s="525"/>
      <c r="SEW3" s="525"/>
      <c r="SEX3" s="525"/>
      <c r="SEY3" s="525"/>
      <c r="SEZ3" s="525"/>
      <c r="SFA3" s="525"/>
      <c r="SFB3" s="525"/>
      <c r="SFC3" s="525"/>
      <c r="SFD3" s="525"/>
      <c r="SFE3" s="525"/>
      <c r="SFF3" s="525"/>
      <c r="SFG3" s="525"/>
      <c r="SFH3" s="525"/>
      <c r="SFI3" s="525"/>
      <c r="SFJ3" s="525"/>
      <c r="SFK3" s="525"/>
      <c r="SFL3" s="525"/>
      <c r="SFM3" s="525"/>
      <c r="SFN3" s="525"/>
      <c r="SFO3" s="525"/>
      <c r="SFP3" s="525"/>
      <c r="SFQ3" s="525"/>
      <c r="SFR3" s="525"/>
      <c r="SFS3" s="525"/>
      <c r="SFT3" s="525"/>
      <c r="SFU3" s="525"/>
      <c r="SFV3" s="525"/>
      <c r="SFW3" s="525"/>
      <c r="SFX3" s="525"/>
      <c r="SFY3" s="525"/>
      <c r="SFZ3" s="525"/>
      <c r="SGA3" s="525"/>
      <c r="SGB3" s="525"/>
      <c r="SGC3" s="525"/>
      <c r="SGD3" s="525"/>
      <c r="SGE3" s="525"/>
      <c r="SGF3" s="525"/>
      <c r="SGG3" s="525"/>
      <c r="SGH3" s="525"/>
      <c r="SGI3" s="525"/>
      <c r="SGJ3" s="525"/>
      <c r="SGK3" s="525"/>
      <c r="SGL3" s="525"/>
      <c r="SGM3" s="525"/>
      <c r="SGN3" s="525"/>
      <c r="SGO3" s="525"/>
      <c r="SGP3" s="525"/>
      <c r="SGQ3" s="525"/>
      <c r="SGR3" s="525"/>
      <c r="SGS3" s="525"/>
      <c r="SGT3" s="525"/>
      <c r="SGU3" s="525"/>
      <c r="SGV3" s="525"/>
      <c r="SGW3" s="525"/>
      <c r="SGX3" s="525"/>
      <c r="SGY3" s="525"/>
      <c r="SGZ3" s="525"/>
      <c r="SHA3" s="525"/>
      <c r="SHB3" s="525"/>
      <c r="SHC3" s="525"/>
      <c r="SHD3" s="525"/>
      <c r="SHE3" s="525"/>
      <c r="SHF3" s="525"/>
      <c r="SHG3" s="525"/>
      <c r="SHH3" s="525"/>
      <c r="SHI3" s="525"/>
      <c r="SHJ3" s="525"/>
      <c r="SHK3" s="525"/>
      <c r="SHL3" s="525"/>
      <c r="SHM3" s="525"/>
      <c r="SHN3" s="525"/>
      <c r="SHO3" s="525"/>
      <c r="SHP3" s="525"/>
      <c r="SHQ3" s="525"/>
      <c r="SHR3" s="525"/>
      <c r="SHS3" s="525"/>
      <c r="SHT3" s="525"/>
      <c r="SHU3" s="525"/>
      <c r="SHV3" s="525"/>
      <c r="SHW3" s="525"/>
      <c r="SHX3" s="525"/>
      <c r="SHY3" s="525"/>
      <c r="SHZ3" s="525"/>
      <c r="SIA3" s="525"/>
      <c r="SIB3" s="525"/>
      <c r="SIC3" s="525"/>
      <c r="SID3" s="525"/>
      <c r="SIE3" s="525"/>
      <c r="SIF3" s="525"/>
      <c r="SIG3" s="525"/>
      <c r="SIH3" s="525"/>
      <c r="SII3" s="525"/>
      <c r="SIJ3" s="525"/>
      <c r="SIK3" s="525"/>
      <c r="SIL3" s="525"/>
      <c r="SIM3" s="525"/>
      <c r="SIN3" s="525"/>
      <c r="SIO3" s="525"/>
      <c r="SIP3" s="525"/>
      <c r="SIQ3" s="525"/>
      <c r="SIR3" s="525"/>
      <c r="SIS3" s="525"/>
      <c r="SIT3" s="525"/>
      <c r="SIU3" s="525"/>
      <c r="SIV3" s="525"/>
      <c r="SIW3" s="525"/>
      <c r="SIX3" s="525"/>
      <c r="SIY3" s="525"/>
      <c r="SIZ3" s="525"/>
      <c r="SJA3" s="525"/>
      <c r="SJB3" s="525"/>
      <c r="SJC3" s="525"/>
      <c r="SJD3" s="525"/>
      <c r="SJE3" s="525"/>
      <c r="SJF3" s="525"/>
      <c r="SJG3" s="525"/>
      <c r="SJH3" s="525"/>
      <c r="SJI3" s="525"/>
      <c r="SJJ3" s="525"/>
      <c r="SJK3" s="525"/>
      <c r="SJL3" s="525"/>
      <c r="SJM3" s="525"/>
      <c r="SJN3" s="525"/>
      <c r="SJO3" s="525"/>
      <c r="SJP3" s="525"/>
      <c r="SJQ3" s="525"/>
      <c r="SJR3" s="525"/>
      <c r="SJS3" s="525"/>
      <c r="SJT3" s="525"/>
      <c r="SJU3" s="525"/>
      <c r="SJV3" s="525"/>
      <c r="SJW3" s="525"/>
      <c r="SJX3" s="525"/>
      <c r="SJY3" s="525"/>
      <c r="SJZ3" s="525"/>
      <c r="SKA3" s="525"/>
      <c r="SKB3" s="525"/>
      <c r="SKC3" s="525"/>
      <c r="SKD3" s="525"/>
      <c r="SKE3" s="525"/>
      <c r="SKF3" s="525"/>
      <c r="SKG3" s="525"/>
      <c r="SKH3" s="525"/>
      <c r="SKI3" s="525"/>
      <c r="SKJ3" s="525"/>
      <c r="SKK3" s="525"/>
      <c r="SKL3" s="525"/>
      <c r="SKM3" s="525"/>
      <c r="SKN3" s="525"/>
      <c r="SKO3" s="525"/>
      <c r="SKP3" s="525"/>
      <c r="SKQ3" s="525"/>
      <c r="SKR3" s="525"/>
      <c r="SKS3" s="525"/>
      <c r="SKT3" s="525"/>
      <c r="SKU3" s="525"/>
      <c r="SKV3" s="525"/>
      <c r="SKW3" s="525"/>
      <c r="SKX3" s="525"/>
      <c r="SKY3" s="525"/>
      <c r="SKZ3" s="525"/>
      <c r="SLA3" s="525"/>
      <c r="SLB3" s="525"/>
      <c r="SLC3" s="525"/>
      <c r="SLD3" s="525"/>
      <c r="SLE3" s="525"/>
      <c r="SLF3" s="525"/>
      <c r="SLG3" s="525"/>
      <c r="SLH3" s="525"/>
      <c r="SLI3" s="525"/>
      <c r="SLJ3" s="525"/>
      <c r="SLK3" s="525"/>
      <c r="SLL3" s="525"/>
      <c r="SLM3" s="525"/>
      <c r="SLN3" s="525"/>
      <c r="SLO3" s="525"/>
      <c r="SLP3" s="525"/>
      <c r="SLQ3" s="525"/>
      <c r="SLR3" s="525"/>
      <c r="SLS3" s="525"/>
      <c r="SLT3" s="525"/>
      <c r="SLU3" s="525"/>
      <c r="SLV3" s="525"/>
      <c r="SLW3" s="525"/>
      <c r="SLX3" s="525"/>
      <c r="SLY3" s="525"/>
      <c r="SLZ3" s="525"/>
      <c r="SMA3" s="525"/>
      <c r="SMB3" s="525"/>
      <c r="SMC3" s="525"/>
      <c r="SMD3" s="525"/>
      <c r="SME3" s="525"/>
      <c r="SMF3" s="525"/>
      <c r="SMG3" s="525"/>
      <c r="SMH3" s="525"/>
      <c r="SMI3" s="525"/>
      <c r="SMJ3" s="525"/>
      <c r="SMK3" s="525"/>
      <c r="SML3" s="525"/>
      <c r="SMM3" s="525"/>
      <c r="SMN3" s="525"/>
      <c r="SMO3" s="525"/>
      <c r="SMP3" s="525"/>
      <c r="SMQ3" s="525"/>
      <c r="SMR3" s="525"/>
      <c r="SMS3" s="525"/>
      <c r="SMT3" s="525"/>
      <c r="SMU3" s="525"/>
      <c r="SMV3" s="525"/>
      <c r="SMW3" s="525"/>
      <c r="SMX3" s="525"/>
      <c r="SMY3" s="525"/>
      <c r="SMZ3" s="525"/>
      <c r="SNA3" s="525"/>
      <c r="SNB3" s="525"/>
      <c r="SNC3" s="525"/>
      <c r="SND3" s="525"/>
      <c r="SNE3" s="525"/>
      <c r="SNF3" s="525"/>
      <c r="SNG3" s="525"/>
      <c r="SNH3" s="525"/>
      <c r="SNI3" s="525"/>
      <c r="SNJ3" s="525"/>
      <c r="SNK3" s="525"/>
      <c r="SNL3" s="525"/>
      <c r="SNM3" s="525"/>
      <c r="SNN3" s="525"/>
      <c r="SNO3" s="525"/>
      <c r="SNP3" s="525"/>
      <c r="SNQ3" s="525"/>
      <c r="SNR3" s="525"/>
      <c r="SNS3" s="525"/>
      <c r="SNT3" s="525"/>
      <c r="SNU3" s="525"/>
      <c r="SNV3" s="525"/>
      <c r="SNW3" s="525"/>
      <c r="SNX3" s="525"/>
      <c r="SNY3" s="525"/>
      <c r="SNZ3" s="525"/>
      <c r="SOA3" s="525"/>
      <c r="SOB3" s="525"/>
      <c r="SOC3" s="525"/>
      <c r="SOD3" s="525"/>
      <c r="SOE3" s="525"/>
      <c r="SOF3" s="525"/>
      <c r="SOG3" s="525"/>
      <c r="SOH3" s="525"/>
      <c r="SOI3" s="525"/>
      <c r="SOJ3" s="525"/>
      <c r="SOK3" s="525"/>
      <c r="SOL3" s="525"/>
      <c r="SOM3" s="525"/>
      <c r="SON3" s="525"/>
      <c r="SOO3" s="525"/>
      <c r="SOP3" s="525"/>
      <c r="SOQ3" s="525"/>
      <c r="SOR3" s="525"/>
      <c r="SOS3" s="525"/>
      <c r="SOT3" s="525"/>
      <c r="SOU3" s="525"/>
      <c r="SOV3" s="525"/>
      <c r="SOW3" s="525"/>
      <c r="SOX3" s="525"/>
      <c r="SOY3" s="525"/>
      <c r="SOZ3" s="525"/>
      <c r="SPA3" s="525"/>
      <c r="SPB3" s="525"/>
      <c r="SPC3" s="525"/>
      <c r="SPD3" s="525"/>
      <c r="SPE3" s="525"/>
      <c r="SPF3" s="525"/>
      <c r="SPG3" s="525"/>
      <c r="SPH3" s="525"/>
      <c r="SPI3" s="525"/>
      <c r="SPJ3" s="525"/>
      <c r="SPK3" s="525"/>
      <c r="SPL3" s="525"/>
      <c r="SPM3" s="525"/>
      <c r="SPN3" s="525"/>
      <c r="SPO3" s="525"/>
      <c r="SPP3" s="525"/>
      <c r="SPQ3" s="525"/>
      <c r="SPR3" s="525"/>
      <c r="SPS3" s="525"/>
      <c r="SPT3" s="525"/>
      <c r="SPU3" s="525"/>
      <c r="SPV3" s="525"/>
      <c r="SPW3" s="525"/>
      <c r="SPX3" s="525"/>
      <c r="SPY3" s="525"/>
      <c r="SPZ3" s="525"/>
      <c r="SQA3" s="525"/>
      <c r="SQB3" s="525"/>
      <c r="SQC3" s="525"/>
      <c r="SQD3" s="525"/>
      <c r="SQE3" s="525"/>
      <c r="SQF3" s="525"/>
      <c r="SQG3" s="525"/>
      <c r="SQH3" s="525"/>
      <c r="SQI3" s="525"/>
      <c r="SQJ3" s="525"/>
      <c r="SQK3" s="525"/>
      <c r="SQL3" s="525"/>
      <c r="SQM3" s="525"/>
      <c r="SQN3" s="525"/>
      <c r="SQO3" s="525"/>
      <c r="SQP3" s="525"/>
      <c r="SQQ3" s="525"/>
      <c r="SQR3" s="525"/>
      <c r="SQS3" s="525"/>
      <c r="SQT3" s="525"/>
      <c r="SQU3" s="525"/>
      <c r="SQV3" s="525"/>
      <c r="SQW3" s="525"/>
      <c r="SQX3" s="525"/>
      <c r="SQY3" s="525"/>
      <c r="SQZ3" s="525"/>
      <c r="SRA3" s="525"/>
      <c r="SRB3" s="525"/>
      <c r="SRC3" s="525"/>
      <c r="SRD3" s="525"/>
      <c r="SRE3" s="525"/>
      <c r="SRF3" s="525"/>
      <c r="SRG3" s="525"/>
      <c r="SRH3" s="525"/>
      <c r="SRI3" s="525"/>
      <c r="SRJ3" s="525"/>
      <c r="SRK3" s="525"/>
      <c r="SRL3" s="525"/>
      <c r="SRM3" s="525"/>
      <c r="SRN3" s="525"/>
      <c r="SRO3" s="525"/>
      <c r="SRP3" s="525"/>
      <c r="SRQ3" s="525"/>
      <c r="SRR3" s="525"/>
      <c r="SRS3" s="525"/>
      <c r="SRT3" s="525"/>
      <c r="SRU3" s="525"/>
      <c r="SRV3" s="525"/>
      <c r="SRW3" s="525"/>
      <c r="SRX3" s="525"/>
      <c r="SRY3" s="525"/>
      <c r="SRZ3" s="525"/>
      <c r="SSA3" s="525"/>
      <c r="SSB3" s="525"/>
      <c r="SSC3" s="525"/>
      <c r="SSD3" s="525"/>
      <c r="SSE3" s="525"/>
      <c r="SSF3" s="525"/>
      <c r="SSG3" s="525"/>
      <c r="SSH3" s="525"/>
      <c r="SSI3" s="525"/>
      <c r="SSJ3" s="525"/>
      <c r="SSK3" s="525"/>
      <c r="SSL3" s="525"/>
      <c r="SSM3" s="525"/>
      <c r="SSN3" s="525"/>
      <c r="SSO3" s="525"/>
      <c r="SSP3" s="525"/>
      <c r="SSQ3" s="525"/>
      <c r="SSR3" s="525"/>
      <c r="SSS3" s="525"/>
      <c r="SST3" s="525"/>
      <c r="SSU3" s="525"/>
      <c r="SSV3" s="525"/>
      <c r="SSW3" s="525"/>
      <c r="SSX3" s="525"/>
      <c r="SSY3" s="525"/>
      <c r="SSZ3" s="525"/>
      <c r="STA3" s="525"/>
      <c r="STB3" s="525"/>
      <c r="STC3" s="525"/>
      <c r="STD3" s="525"/>
      <c r="STE3" s="525"/>
      <c r="STF3" s="525"/>
      <c r="STG3" s="525"/>
      <c r="STH3" s="525"/>
      <c r="STI3" s="525"/>
      <c r="STJ3" s="525"/>
      <c r="STK3" s="525"/>
      <c r="STL3" s="525"/>
      <c r="STM3" s="525"/>
      <c r="STN3" s="525"/>
      <c r="STO3" s="525"/>
      <c r="STP3" s="525"/>
      <c r="STQ3" s="525"/>
      <c r="STR3" s="525"/>
      <c r="STS3" s="525"/>
      <c r="STT3" s="525"/>
      <c r="STU3" s="525"/>
      <c r="STV3" s="525"/>
      <c r="STW3" s="525"/>
      <c r="STX3" s="525"/>
      <c r="STY3" s="525"/>
      <c r="STZ3" s="525"/>
      <c r="SUA3" s="525"/>
      <c r="SUB3" s="525"/>
      <c r="SUC3" s="525"/>
      <c r="SUD3" s="525"/>
      <c r="SUE3" s="525"/>
      <c r="SUF3" s="525"/>
      <c r="SUG3" s="525"/>
      <c r="SUH3" s="525"/>
      <c r="SUI3" s="525"/>
      <c r="SUJ3" s="525"/>
      <c r="SUK3" s="525"/>
      <c r="SUL3" s="525"/>
      <c r="SUM3" s="525"/>
      <c r="SUN3" s="525"/>
      <c r="SUO3" s="525"/>
      <c r="SUP3" s="525"/>
      <c r="SUQ3" s="525"/>
      <c r="SUR3" s="525"/>
      <c r="SUS3" s="525"/>
      <c r="SUT3" s="525"/>
      <c r="SUU3" s="525"/>
      <c r="SUV3" s="525"/>
      <c r="SUW3" s="525"/>
      <c r="SUX3" s="525"/>
      <c r="SUY3" s="525"/>
      <c r="SUZ3" s="525"/>
      <c r="SVA3" s="525"/>
      <c r="SVB3" s="525"/>
      <c r="SVC3" s="525"/>
      <c r="SVD3" s="525"/>
      <c r="SVE3" s="525"/>
      <c r="SVF3" s="525"/>
      <c r="SVG3" s="525"/>
      <c r="SVH3" s="525"/>
      <c r="SVI3" s="525"/>
      <c r="SVJ3" s="525"/>
      <c r="SVK3" s="525"/>
      <c r="SVL3" s="525"/>
      <c r="SVM3" s="525"/>
      <c r="SVN3" s="525"/>
      <c r="SVO3" s="525"/>
      <c r="SVP3" s="525"/>
      <c r="SVQ3" s="525"/>
      <c r="SVR3" s="525"/>
      <c r="SVS3" s="525"/>
      <c r="SVT3" s="525"/>
      <c r="SVU3" s="525"/>
      <c r="SVV3" s="525"/>
      <c r="SVW3" s="525"/>
      <c r="SVX3" s="525"/>
      <c r="SVY3" s="525"/>
      <c r="SVZ3" s="525"/>
      <c r="SWA3" s="525"/>
      <c r="SWB3" s="525"/>
      <c r="SWC3" s="525"/>
      <c r="SWD3" s="525"/>
      <c r="SWE3" s="525"/>
      <c r="SWF3" s="525"/>
      <c r="SWG3" s="525"/>
      <c r="SWH3" s="525"/>
      <c r="SWI3" s="525"/>
      <c r="SWJ3" s="525"/>
      <c r="SWK3" s="525"/>
      <c r="SWL3" s="525"/>
      <c r="SWM3" s="525"/>
      <c r="SWN3" s="525"/>
      <c r="SWO3" s="525"/>
      <c r="SWP3" s="525"/>
      <c r="SWQ3" s="525"/>
      <c r="SWR3" s="525"/>
      <c r="SWS3" s="525"/>
      <c r="SWT3" s="525"/>
      <c r="SWU3" s="525"/>
      <c r="SWV3" s="525"/>
      <c r="SWW3" s="525"/>
      <c r="SWX3" s="525"/>
      <c r="SWY3" s="525"/>
      <c r="SWZ3" s="525"/>
      <c r="SXA3" s="525"/>
      <c r="SXB3" s="525"/>
      <c r="SXC3" s="525"/>
      <c r="SXD3" s="525"/>
      <c r="SXE3" s="525"/>
      <c r="SXF3" s="525"/>
      <c r="SXG3" s="525"/>
      <c r="SXH3" s="525"/>
      <c r="SXI3" s="525"/>
      <c r="SXJ3" s="525"/>
      <c r="SXK3" s="525"/>
      <c r="SXL3" s="525"/>
      <c r="SXM3" s="525"/>
      <c r="SXN3" s="525"/>
      <c r="SXO3" s="525"/>
      <c r="SXP3" s="525"/>
      <c r="SXQ3" s="525"/>
      <c r="SXR3" s="525"/>
      <c r="SXS3" s="525"/>
      <c r="SXT3" s="525"/>
      <c r="SXU3" s="525"/>
      <c r="SXV3" s="525"/>
      <c r="SXW3" s="525"/>
      <c r="SXX3" s="525"/>
      <c r="SXY3" s="525"/>
      <c r="SXZ3" s="525"/>
      <c r="SYA3" s="525"/>
      <c r="SYB3" s="525"/>
      <c r="SYC3" s="525"/>
      <c r="SYD3" s="525"/>
      <c r="SYE3" s="525"/>
      <c r="SYF3" s="525"/>
      <c r="SYG3" s="525"/>
      <c r="SYH3" s="525"/>
      <c r="SYI3" s="525"/>
      <c r="SYJ3" s="525"/>
      <c r="SYK3" s="525"/>
      <c r="SYL3" s="525"/>
      <c r="SYM3" s="525"/>
      <c r="SYN3" s="525"/>
      <c r="SYO3" s="525"/>
      <c r="SYP3" s="525"/>
      <c r="SYQ3" s="525"/>
      <c r="SYR3" s="525"/>
      <c r="SYS3" s="525"/>
      <c r="SYT3" s="525"/>
      <c r="SYU3" s="525"/>
      <c r="SYV3" s="525"/>
      <c r="SYW3" s="525"/>
      <c r="SYX3" s="525"/>
      <c r="SYY3" s="525"/>
      <c r="SYZ3" s="525"/>
      <c r="SZA3" s="525"/>
      <c r="SZB3" s="525"/>
      <c r="SZC3" s="525"/>
      <c r="SZD3" s="525"/>
      <c r="SZE3" s="525"/>
      <c r="SZF3" s="525"/>
      <c r="SZG3" s="525"/>
      <c r="SZH3" s="525"/>
      <c r="SZI3" s="525"/>
      <c r="SZJ3" s="525"/>
      <c r="SZK3" s="525"/>
      <c r="SZL3" s="525"/>
      <c r="SZM3" s="525"/>
      <c r="SZN3" s="525"/>
      <c r="SZO3" s="525"/>
      <c r="SZP3" s="525"/>
      <c r="SZQ3" s="525"/>
      <c r="SZR3" s="525"/>
      <c r="SZS3" s="525"/>
      <c r="SZT3" s="525"/>
      <c r="SZU3" s="525"/>
      <c r="SZV3" s="525"/>
      <c r="SZW3" s="525"/>
      <c r="SZX3" s="525"/>
      <c r="SZY3" s="525"/>
      <c r="SZZ3" s="525"/>
      <c r="TAA3" s="525"/>
      <c r="TAB3" s="525"/>
      <c r="TAC3" s="525"/>
      <c r="TAD3" s="525"/>
      <c r="TAE3" s="525"/>
      <c r="TAF3" s="525"/>
      <c r="TAG3" s="525"/>
      <c r="TAH3" s="525"/>
      <c r="TAI3" s="525"/>
      <c r="TAJ3" s="525"/>
      <c r="TAK3" s="525"/>
      <c r="TAL3" s="525"/>
      <c r="TAM3" s="525"/>
      <c r="TAN3" s="525"/>
      <c r="TAO3" s="525"/>
      <c r="TAP3" s="525"/>
      <c r="TAQ3" s="525"/>
      <c r="TAR3" s="525"/>
      <c r="TAS3" s="525"/>
      <c r="TAT3" s="525"/>
      <c r="TAU3" s="525"/>
      <c r="TAV3" s="525"/>
      <c r="TAW3" s="525"/>
      <c r="TAX3" s="525"/>
      <c r="TAY3" s="525"/>
      <c r="TAZ3" s="525"/>
      <c r="TBA3" s="525"/>
      <c r="TBB3" s="525"/>
      <c r="TBC3" s="525"/>
      <c r="TBD3" s="525"/>
      <c r="TBE3" s="525"/>
      <c r="TBF3" s="525"/>
      <c r="TBG3" s="525"/>
      <c r="TBH3" s="525"/>
      <c r="TBI3" s="525"/>
      <c r="TBJ3" s="525"/>
      <c r="TBK3" s="525"/>
      <c r="TBL3" s="525"/>
      <c r="TBM3" s="525"/>
      <c r="TBN3" s="525"/>
      <c r="TBO3" s="525"/>
      <c r="TBP3" s="525"/>
      <c r="TBQ3" s="525"/>
      <c r="TBR3" s="525"/>
      <c r="TBS3" s="525"/>
      <c r="TBT3" s="525"/>
      <c r="TBU3" s="525"/>
      <c r="TBV3" s="525"/>
      <c r="TBW3" s="525"/>
      <c r="TBX3" s="525"/>
      <c r="TBY3" s="525"/>
      <c r="TBZ3" s="525"/>
      <c r="TCA3" s="525"/>
      <c r="TCB3" s="525"/>
      <c r="TCC3" s="525"/>
      <c r="TCD3" s="525"/>
      <c r="TCE3" s="525"/>
      <c r="TCF3" s="525"/>
      <c r="TCG3" s="525"/>
      <c r="TCH3" s="525"/>
      <c r="TCI3" s="525"/>
      <c r="TCJ3" s="525"/>
      <c r="TCK3" s="525"/>
      <c r="TCL3" s="525"/>
      <c r="TCM3" s="525"/>
      <c r="TCN3" s="525"/>
      <c r="TCO3" s="525"/>
      <c r="TCP3" s="525"/>
      <c r="TCQ3" s="525"/>
      <c r="TCR3" s="525"/>
      <c r="TCS3" s="525"/>
      <c r="TCT3" s="525"/>
      <c r="TCU3" s="525"/>
      <c r="TCV3" s="525"/>
      <c r="TCW3" s="525"/>
      <c r="TCX3" s="525"/>
      <c r="TCY3" s="525"/>
      <c r="TCZ3" s="525"/>
      <c r="TDA3" s="525"/>
      <c r="TDB3" s="525"/>
      <c r="TDC3" s="525"/>
      <c r="TDD3" s="525"/>
      <c r="TDE3" s="525"/>
      <c r="TDF3" s="525"/>
      <c r="TDG3" s="525"/>
      <c r="TDH3" s="525"/>
      <c r="TDI3" s="525"/>
      <c r="TDJ3" s="525"/>
      <c r="TDK3" s="525"/>
      <c r="TDL3" s="525"/>
      <c r="TDM3" s="525"/>
      <c r="TDN3" s="525"/>
      <c r="TDO3" s="525"/>
      <c r="TDP3" s="525"/>
      <c r="TDQ3" s="525"/>
      <c r="TDR3" s="525"/>
      <c r="TDS3" s="525"/>
      <c r="TDT3" s="525"/>
      <c r="TDU3" s="525"/>
      <c r="TDV3" s="525"/>
      <c r="TDW3" s="525"/>
      <c r="TDX3" s="525"/>
      <c r="TDY3" s="525"/>
      <c r="TDZ3" s="525"/>
      <c r="TEA3" s="525"/>
      <c r="TEB3" s="525"/>
      <c r="TEC3" s="525"/>
      <c r="TED3" s="525"/>
      <c r="TEE3" s="525"/>
      <c r="TEF3" s="525"/>
      <c r="TEG3" s="525"/>
      <c r="TEH3" s="525"/>
      <c r="TEI3" s="525"/>
      <c r="TEJ3" s="525"/>
      <c r="TEK3" s="525"/>
      <c r="TEL3" s="525"/>
      <c r="TEM3" s="525"/>
      <c r="TEN3" s="525"/>
      <c r="TEO3" s="525"/>
      <c r="TEP3" s="525"/>
      <c r="TEQ3" s="525"/>
      <c r="TER3" s="525"/>
      <c r="TES3" s="525"/>
      <c r="TET3" s="525"/>
      <c r="TEU3" s="525"/>
      <c r="TEV3" s="525"/>
      <c r="TEW3" s="525"/>
      <c r="TEX3" s="525"/>
      <c r="TEY3" s="525"/>
      <c r="TEZ3" s="525"/>
      <c r="TFA3" s="525"/>
      <c r="TFB3" s="525"/>
      <c r="TFC3" s="525"/>
      <c r="TFD3" s="525"/>
      <c r="TFE3" s="525"/>
      <c r="TFF3" s="525"/>
      <c r="TFG3" s="525"/>
      <c r="TFH3" s="525"/>
      <c r="TFI3" s="525"/>
      <c r="TFJ3" s="525"/>
      <c r="TFK3" s="525"/>
      <c r="TFL3" s="525"/>
      <c r="TFM3" s="525"/>
      <c r="TFN3" s="525"/>
      <c r="TFO3" s="525"/>
      <c r="TFP3" s="525"/>
      <c r="TFQ3" s="525"/>
      <c r="TFR3" s="525"/>
      <c r="TFS3" s="525"/>
      <c r="TFT3" s="525"/>
      <c r="TFU3" s="525"/>
      <c r="TFV3" s="525"/>
      <c r="TFW3" s="525"/>
      <c r="TFX3" s="525"/>
      <c r="TFY3" s="525"/>
      <c r="TFZ3" s="525"/>
      <c r="TGA3" s="525"/>
      <c r="TGB3" s="525"/>
      <c r="TGC3" s="525"/>
      <c r="TGD3" s="525"/>
      <c r="TGE3" s="525"/>
      <c r="TGF3" s="525"/>
      <c r="TGG3" s="525"/>
      <c r="TGH3" s="525"/>
      <c r="TGI3" s="525"/>
      <c r="TGJ3" s="525"/>
      <c r="TGK3" s="525"/>
      <c r="TGL3" s="525"/>
      <c r="TGM3" s="525"/>
      <c r="TGN3" s="525"/>
      <c r="TGO3" s="525"/>
      <c r="TGP3" s="525"/>
      <c r="TGQ3" s="525"/>
      <c r="TGR3" s="525"/>
      <c r="TGS3" s="525"/>
      <c r="TGT3" s="525"/>
      <c r="TGU3" s="525"/>
      <c r="TGV3" s="525"/>
      <c r="TGW3" s="525"/>
      <c r="TGX3" s="525"/>
      <c r="TGY3" s="525"/>
      <c r="TGZ3" s="525"/>
      <c r="THA3" s="525"/>
      <c r="THB3" s="525"/>
      <c r="THC3" s="525"/>
      <c r="THD3" s="525"/>
      <c r="THE3" s="525"/>
      <c r="THF3" s="525"/>
      <c r="THG3" s="525"/>
      <c r="THH3" s="525"/>
      <c r="THI3" s="525"/>
      <c r="THJ3" s="525"/>
      <c r="THK3" s="525"/>
      <c r="THL3" s="525"/>
      <c r="THM3" s="525"/>
      <c r="THN3" s="525"/>
      <c r="THO3" s="525"/>
      <c r="THP3" s="525"/>
      <c r="THQ3" s="525"/>
      <c r="THR3" s="525"/>
      <c r="THS3" s="525"/>
      <c r="THT3" s="525"/>
      <c r="THU3" s="525"/>
      <c r="THV3" s="525"/>
      <c r="THW3" s="525"/>
      <c r="THX3" s="525"/>
      <c r="THY3" s="525"/>
      <c r="THZ3" s="525"/>
      <c r="TIA3" s="525"/>
      <c r="TIB3" s="525"/>
      <c r="TIC3" s="525"/>
      <c r="TID3" s="525"/>
      <c r="TIE3" s="525"/>
      <c r="TIF3" s="525"/>
      <c r="TIG3" s="525"/>
      <c r="TIH3" s="525"/>
      <c r="TII3" s="525"/>
      <c r="TIJ3" s="525"/>
      <c r="TIK3" s="525"/>
      <c r="TIL3" s="525"/>
      <c r="TIM3" s="525"/>
      <c r="TIN3" s="525"/>
      <c r="TIO3" s="525"/>
      <c r="TIP3" s="525"/>
      <c r="TIQ3" s="525"/>
      <c r="TIR3" s="525"/>
      <c r="TIS3" s="525"/>
      <c r="TIT3" s="525"/>
      <c r="TIU3" s="525"/>
      <c r="TIV3" s="525"/>
      <c r="TIW3" s="525"/>
      <c r="TIX3" s="525"/>
      <c r="TIY3" s="525"/>
      <c r="TIZ3" s="525"/>
      <c r="TJA3" s="525"/>
      <c r="TJB3" s="525"/>
      <c r="TJC3" s="525"/>
      <c r="TJD3" s="525"/>
      <c r="TJE3" s="525"/>
      <c r="TJF3" s="525"/>
      <c r="TJG3" s="525"/>
      <c r="TJH3" s="525"/>
      <c r="TJI3" s="525"/>
      <c r="TJJ3" s="525"/>
      <c r="TJK3" s="525"/>
      <c r="TJL3" s="525"/>
      <c r="TJM3" s="525"/>
      <c r="TJN3" s="525"/>
      <c r="TJO3" s="525"/>
      <c r="TJP3" s="525"/>
      <c r="TJQ3" s="525"/>
      <c r="TJR3" s="525"/>
      <c r="TJS3" s="525"/>
      <c r="TJT3" s="525"/>
      <c r="TJU3" s="525"/>
      <c r="TJV3" s="525"/>
      <c r="TJW3" s="525"/>
      <c r="TJX3" s="525"/>
      <c r="TJY3" s="525"/>
      <c r="TJZ3" s="525"/>
      <c r="TKA3" s="525"/>
      <c r="TKB3" s="525"/>
      <c r="TKC3" s="525"/>
      <c r="TKD3" s="525"/>
      <c r="TKE3" s="525"/>
      <c r="TKF3" s="525"/>
      <c r="TKG3" s="525"/>
      <c r="TKH3" s="525"/>
      <c r="TKI3" s="525"/>
      <c r="TKJ3" s="525"/>
      <c r="TKK3" s="525"/>
      <c r="TKL3" s="525"/>
      <c r="TKM3" s="525"/>
      <c r="TKN3" s="525"/>
      <c r="TKO3" s="525"/>
      <c r="TKP3" s="525"/>
      <c r="TKQ3" s="525"/>
      <c r="TKR3" s="525"/>
      <c r="TKS3" s="525"/>
      <c r="TKT3" s="525"/>
      <c r="TKU3" s="525"/>
      <c r="TKV3" s="525"/>
      <c r="TKW3" s="525"/>
      <c r="TKX3" s="525"/>
      <c r="TKY3" s="525"/>
      <c r="TKZ3" s="525"/>
      <c r="TLA3" s="525"/>
      <c r="TLB3" s="525"/>
      <c r="TLC3" s="525"/>
      <c r="TLD3" s="525"/>
      <c r="TLE3" s="525"/>
      <c r="TLF3" s="525"/>
      <c r="TLG3" s="525"/>
      <c r="TLH3" s="525"/>
      <c r="TLI3" s="525"/>
      <c r="TLJ3" s="525"/>
      <c r="TLK3" s="525"/>
      <c r="TLL3" s="525"/>
      <c r="TLM3" s="525"/>
      <c r="TLN3" s="525"/>
      <c r="TLO3" s="525"/>
      <c r="TLP3" s="525"/>
      <c r="TLQ3" s="525"/>
      <c r="TLR3" s="525"/>
      <c r="TLS3" s="525"/>
      <c r="TLT3" s="525"/>
      <c r="TLU3" s="525"/>
      <c r="TLV3" s="525"/>
      <c r="TLW3" s="525"/>
      <c r="TLX3" s="525"/>
      <c r="TLY3" s="525"/>
      <c r="TLZ3" s="525"/>
      <c r="TMA3" s="525"/>
      <c r="TMB3" s="525"/>
      <c r="TMC3" s="525"/>
      <c r="TMD3" s="525"/>
      <c r="TME3" s="525"/>
      <c r="TMF3" s="525"/>
      <c r="TMG3" s="525"/>
      <c r="TMH3" s="525"/>
      <c r="TMI3" s="525"/>
      <c r="TMJ3" s="525"/>
      <c r="TMK3" s="525"/>
      <c r="TML3" s="525"/>
      <c r="TMM3" s="525"/>
      <c r="TMN3" s="525"/>
      <c r="TMO3" s="525"/>
      <c r="TMP3" s="525"/>
      <c r="TMQ3" s="525"/>
      <c r="TMR3" s="525"/>
      <c r="TMS3" s="525"/>
      <c r="TMT3" s="525"/>
      <c r="TMU3" s="525"/>
      <c r="TMV3" s="525"/>
      <c r="TMW3" s="525"/>
      <c r="TMX3" s="525"/>
      <c r="TMY3" s="525"/>
      <c r="TMZ3" s="525"/>
      <c r="TNA3" s="525"/>
      <c r="TNB3" s="525"/>
      <c r="TNC3" s="525"/>
      <c r="TND3" s="525"/>
      <c r="TNE3" s="525"/>
      <c r="TNF3" s="525"/>
      <c r="TNG3" s="525"/>
      <c r="TNH3" s="525"/>
      <c r="TNI3" s="525"/>
      <c r="TNJ3" s="525"/>
      <c r="TNK3" s="525"/>
      <c r="TNL3" s="525"/>
      <c r="TNM3" s="525"/>
      <c r="TNN3" s="525"/>
      <c r="TNO3" s="525"/>
      <c r="TNP3" s="525"/>
      <c r="TNQ3" s="525"/>
      <c r="TNR3" s="525"/>
      <c r="TNS3" s="525"/>
      <c r="TNT3" s="525"/>
      <c r="TNU3" s="525"/>
      <c r="TNV3" s="525"/>
      <c r="TNW3" s="525"/>
      <c r="TNX3" s="525"/>
      <c r="TNY3" s="525"/>
      <c r="TNZ3" s="525"/>
      <c r="TOA3" s="525"/>
      <c r="TOB3" s="525"/>
      <c r="TOC3" s="525"/>
      <c r="TOD3" s="525"/>
      <c r="TOE3" s="525"/>
      <c r="TOF3" s="525"/>
      <c r="TOG3" s="525"/>
      <c r="TOH3" s="525"/>
      <c r="TOI3" s="525"/>
      <c r="TOJ3" s="525"/>
      <c r="TOK3" s="525"/>
      <c r="TOL3" s="525"/>
      <c r="TOM3" s="525"/>
      <c r="TON3" s="525"/>
      <c r="TOO3" s="525"/>
      <c r="TOP3" s="525"/>
      <c r="TOQ3" s="525"/>
      <c r="TOR3" s="525"/>
      <c r="TOS3" s="525"/>
      <c r="TOT3" s="525"/>
      <c r="TOU3" s="525"/>
      <c r="TOV3" s="525"/>
      <c r="TOW3" s="525"/>
      <c r="TOX3" s="525"/>
      <c r="TOY3" s="525"/>
      <c r="TOZ3" s="525"/>
      <c r="TPA3" s="525"/>
      <c r="TPB3" s="525"/>
      <c r="TPC3" s="525"/>
      <c r="TPD3" s="525"/>
      <c r="TPE3" s="525"/>
      <c r="TPF3" s="525"/>
      <c r="TPG3" s="525"/>
      <c r="TPH3" s="525"/>
      <c r="TPI3" s="525"/>
      <c r="TPJ3" s="525"/>
      <c r="TPK3" s="525"/>
      <c r="TPL3" s="525"/>
      <c r="TPM3" s="525"/>
      <c r="TPN3" s="525"/>
      <c r="TPO3" s="525"/>
      <c r="TPP3" s="525"/>
      <c r="TPQ3" s="525"/>
      <c r="TPR3" s="525"/>
      <c r="TPS3" s="525"/>
      <c r="TPT3" s="525"/>
      <c r="TPU3" s="525"/>
      <c r="TPV3" s="525"/>
      <c r="TPW3" s="525"/>
      <c r="TPX3" s="525"/>
      <c r="TPY3" s="525"/>
      <c r="TPZ3" s="525"/>
      <c r="TQA3" s="525"/>
      <c r="TQB3" s="525"/>
      <c r="TQC3" s="525"/>
      <c r="TQD3" s="525"/>
      <c r="TQE3" s="525"/>
      <c r="TQF3" s="525"/>
      <c r="TQG3" s="525"/>
      <c r="TQH3" s="525"/>
      <c r="TQI3" s="525"/>
      <c r="TQJ3" s="525"/>
      <c r="TQK3" s="525"/>
      <c r="TQL3" s="525"/>
      <c r="TQM3" s="525"/>
      <c r="TQN3" s="525"/>
      <c r="TQO3" s="525"/>
      <c r="TQP3" s="525"/>
      <c r="TQQ3" s="525"/>
      <c r="TQR3" s="525"/>
      <c r="TQS3" s="525"/>
      <c r="TQT3" s="525"/>
      <c r="TQU3" s="525"/>
      <c r="TQV3" s="525"/>
      <c r="TQW3" s="525"/>
      <c r="TQX3" s="525"/>
      <c r="TQY3" s="525"/>
      <c r="TQZ3" s="525"/>
      <c r="TRA3" s="525"/>
      <c r="TRB3" s="525"/>
      <c r="TRC3" s="525"/>
      <c r="TRD3" s="525"/>
      <c r="TRE3" s="525"/>
      <c r="TRF3" s="525"/>
      <c r="TRG3" s="525"/>
      <c r="TRH3" s="525"/>
      <c r="TRI3" s="525"/>
      <c r="TRJ3" s="525"/>
      <c r="TRK3" s="525"/>
      <c r="TRL3" s="525"/>
      <c r="TRM3" s="525"/>
      <c r="TRN3" s="525"/>
      <c r="TRO3" s="525"/>
      <c r="TRP3" s="525"/>
      <c r="TRQ3" s="525"/>
      <c r="TRR3" s="525"/>
      <c r="TRS3" s="525"/>
      <c r="TRT3" s="525"/>
      <c r="TRU3" s="525"/>
      <c r="TRV3" s="525"/>
      <c r="TRW3" s="525"/>
      <c r="TRX3" s="525"/>
      <c r="TRY3" s="525"/>
      <c r="TRZ3" s="525"/>
      <c r="TSA3" s="525"/>
      <c r="TSB3" s="525"/>
      <c r="TSC3" s="525"/>
      <c r="TSD3" s="525"/>
      <c r="TSE3" s="525"/>
      <c r="TSF3" s="525"/>
      <c r="TSG3" s="525"/>
      <c r="TSH3" s="525"/>
      <c r="TSI3" s="525"/>
      <c r="TSJ3" s="525"/>
      <c r="TSK3" s="525"/>
      <c r="TSL3" s="525"/>
      <c r="TSM3" s="525"/>
      <c r="TSN3" s="525"/>
      <c r="TSO3" s="525"/>
      <c r="TSP3" s="525"/>
      <c r="TSQ3" s="525"/>
      <c r="TSR3" s="525"/>
      <c r="TSS3" s="525"/>
      <c r="TST3" s="525"/>
      <c r="TSU3" s="525"/>
      <c r="TSV3" s="525"/>
      <c r="TSW3" s="525"/>
      <c r="TSX3" s="525"/>
      <c r="TSY3" s="525"/>
      <c r="TSZ3" s="525"/>
      <c r="TTA3" s="525"/>
      <c r="TTB3" s="525"/>
      <c r="TTC3" s="525"/>
      <c r="TTD3" s="525"/>
      <c r="TTE3" s="525"/>
      <c r="TTF3" s="525"/>
      <c r="TTG3" s="525"/>
      <c r="TTH3" s="525"/>
      <c r="TTI3" s="525"/>
      <c r="TTJ3" s="525"/>
      <c r="TTK3" s="525"/>
      <c r="TTL3" s="525"/>
      <c r="TTM3" s="525"/>
      <c r="TTN3" s="525"/>
      <c r="TTO3" s="525"/>
      <c r="TTP3" s="525"/>
      <c r="TTQ3" s="525"/>
      <c r="TTR3" s="525"/>
      <c r="TTS3" s="525"/>
      <c r="TTT3" s="525"/>
      <c r="TTU3" s="525"/>
      <c r="TTV3" s="525"/>
      <c r="TTW3" s="525"/>
      <c r="TTX3" s="525"/>
      <c r="TTY3" s="525"/>
      <c r="TTZ3" s="525"/>
      <c r="TUA3" s="525"/>
      <c r="TUB3" s="525"/>
      <c r="TUC3" s="525"/>
      <c r="TUD3" s="525"/>
      <c r="TUE3" s="525"/>
      <c r="TUF3" s="525"/>
      <c r="TUG3" s="525"/>
      <c r="TUH3" s="525"/>
      <c r="TUI3" s="525"/>
      <c r="TUJ3" s="525"/>
      <c r="TUK3" s="525"/>
      <c r="TUL3" s="525"/>
      <c r="TUM3" s="525"/>
      <c r="TUN3" s="525"/>
      <c r="TUO3" s="525"/>
      <c r="TUP3" s="525"/>
      <c r="TUQ3" s="525"/>
      <c r="TUR3" s="525"/>
      <c r="TUS3" s="525"/>
      <c r="TUT3" s="525"/>
      <c r="TUU3" s="525"/>
      <c r="TUV3" s="525"/>
      <c r="TUW3" s="525"/>
      <c r="TUX3" s="525"/>
      <c r="TUY3" s="525"/>
      <c r="TUZ3" s="525"/>
      <c r="TVA3" s="525"/>
      <c r="TVB3" s="525"/>
      <c r="TVC3" s="525"/>
      <c r="TVD3" s="525"/>
      <c r="TVE3" s="525"/>
      <c r="TVF3" s="525"/>
      <c r="TVG3" s="525"/>
      <c r="TVH3" s="525"/>
      <c r="TVI3" s="525"/>
      <c r="TVJ3" s="525"/>
      <c r="TVK3" s="525"/>
      <c r="TVL3" s="525"/>
      <c r="TVM3" s="525"/>
      <c r="TVN3" s="525"/>
      <c r="TVO3" s="525"/>
      <c r="TVP3" s="525"/>
      <c r="TVQ3" s="525"/>
      <c r="TVR3" s="525"/>
      <c r="TVS3" s="525"/>
      <c r="TVT3" s="525"/>
      <c r="TVU3" s="525"/>
      <c r="TVV3" s="525"/>
      <c r="TVW3" s="525"/>
      <c r="TVX3" s="525"/>
      <c r="TVY3" s="525"/>
      <c r="TVZ3" s="525"/>
      <c r="TWA3" s="525"/>
      <c r="TWB3" s="525"/>
      <c r="TWC3" s="525"/>
      <c r="TWD3" s="525"/>
      <c r="TWE3" s="525"/>
      <c r="TWF3" s="525"/>
      <c r="TWG3" s="525"/>
      <c r="TWH3" s="525"/>
      <c r="TWI3" s="525"/>
      <c r="TWJ3" s="525"/>
      <c r="TWK3" s="525"/>
      <c r="TWL3" s="525"/>
      <c r="TWM3" s="525"/>
      <c r="TWN3" s="525"/>
      <c r="TWO3" s="525"/>
      <c r="TWP3" s="525"/>
      <c r="TWQ3" s="525"/>
      <c r="TWR3" s="525"/>
      <c r="TWS3" s="525"/>
      <c r="TWT3" s="525"/>
      <c r="TWU3" s="525"/>
      <c r="TWV3" s="525"/>
      <c r="TWW3" s="525"/>
      <c r="TWX3" s="525"/>
      <c r="TWY3" s="525"/>
      <c r="TWZ3" s="525"/>
      <c r="TXA3" s="525"/>
      <c r="TXB3" s="525"/>
      <c r="TXC3" s="525"/>
      <c r="TXD3" s="525"/>
      <c r="TXE3" s="525"/>
      <c r="TXF3" s="525"/>
      <c r="TXG3" s="525"/>
      <c r="TXH3" s="525"/>
      <c r="TXI3" s="525"/>
      <c r="TXJ3" s="525"/>
      <c r="TXK3" s="525"/>
      <c r="TXL3" s="525"/>
      <c r="TXM3" s="525"/>
      <c r="TXN3" s="525"/>
      <c r="TXO3" s="525"/>
      <c r="TXP3" s="525"/>
      <c r="TXQ3" s="525"/>
      <c r="TXR3" s="525"/>
      <c r="TXS3" s="525"/>
      <c r="TXT3" s="525"/>
      <c r="TXU3" s="525"/>
      <c r="TXV3" s="525"/>
      <c r="TXW3" s="525"/>
      <c r="TXX3" s="525"/>
      <c r="TXY3" s="525"/>
      <c r="TXZ3" s="525"/>
      <c r="TYA3" s="525"/>
      <c r="TYB3" s="525"/>
      <c r="TYC3" s="525"/>
      <c r="TYD3" s="525"/>
      <c r="TYE3" s="525"/>
      <c r="TYF3" s="525"/>
      <c r="TYG3" s="525"/>
      <c r="TYH3" s="525"/>
      <c r="TYI3" s="525"/>
      <c r="TYJ3" s="525"/>
      <c r="TYK3" s="525"/>
      <c r="TYL3" s="525"/>
      <c r="TYM3" s="525"/>
      <c r="TYN3" s="525"/>
      <c r="TYO3" s="525"/>
      <c r="TYP3" s="525"/>
      <c r="TYQ3" s="525"/>
      <c r="TYR3" s="525"/>
      <c r="TYS3" s="525"/>
      <c r="TYT3" s="525"/>
      <c r="TYU3" s="525"/>
      <c r="TYV3" s="525"/>
      <c r="TYW3" s="525"/>
      <c r="TYX3" s="525"/>
      <c r="TYY3" s="525"/>
      <c r="TYZ3" s="525"/>
      <c r="TZA3" s="525"/>
      <c r="TZB3" s="525"/>
      <c r="TZC3" s="525"/>
      <c r="TZD3" s="525"/>
      <c r="TZE3" s="525"/>
      <c r="TZF3" s="525"/>
      <c r="TZG3" s="525"/>
      <c r="TZH3" s="525"/>
      <c r="TZI3" s="525"/>
      <c r="TZJ3" s="525"/>
      <c r="TZK3" s="525"/>
      <c r="TZL3" s="525"/>
      <c r="TZM3" s="525"/>
      <c r="TZN3" s="525"/>
      <c r="TZO3" s="525"/>
      <c r="TZP3" s="525"/>
      <c r="TZQ3" s="525"/>
      <c r="TZR3" s="525"/>
      <c r="TZS3" s="525"/>
      <c r="TZT3" s="525"/>
      <c r="TZU3" s="525"/>
      <c r="TZV3" s="525"/>
      <c r="TZW3" s="525"/>
      <c r="TZX3" s="525"/>
      <c r="TZY3" s="525"/>
      <c r="TZZ3" s="525"/>
      <c r="UAA3" s="525"/>
      <c r="UAB3" s="525"/>
      <c r="UAC3" s="525"/>
      <c r="UAD3" s="525"/>
      <c r="UAE3" s="525"/>
      <c r="UAF3" s="525"/>
      <c r="UAG3" s="525"/>
      <c r="UAH3" s="525"/>
      <c r="UAI3" s="525"/>
      <c r="UAJ3" s="525"/>
      <c r="UAK3" s="525"/>
      <c r="UAL3" s="525"/>
      <c r="UAM3" s="525"/>
      <c r="UAN3" s="525"/>
      <c r="UAO3" s="525"/>
      <c r="UAP3" s="525"/>
      <c r="UAQ3" s="525"/>
      <c r="UAR3" s="525"/>
      <c r="UAS3" s="525"/>
      <c r="UAT3" s="525"/>
      <c r="UAU3" s="525"/>
      <c r="UAV3" s="525"/>
      <c r="UAW3" s="525"/>
      <c r="UAX3" s="525"/>
      <c r="UAY3" s="525"/>
      <c r="UAZ3" s="525"/>
      <c r="UBA3" s="525"/>
      <c r="UBB3" s="525"/>
      <c r="UBC3" s="525"/>
      <c r="UBD3" s="525"/>
      <c r="UBE3" s="525"/>
      <c r="UBF3" s="525"/>
      <c r="UBG3" s="525"/>
      <c r="UBH3" s="525"/>
      <c r="UBI3" s="525"/>
      <c r="UBJ3" s="525"/>
      <c r="UBK3" s="525"/>
      <c r="UBL3" s="525"/>
      <c r="UBM3" s="525"/>
      <c r="UBN3" s="525"/>
      <c r="UBO3" s="525"/>
      <c r="UBP3" s="525"/>
      <c r="UBQ3" s="525"/>
      <c r="UBR3" s="525"/>
      <c r="UBS3" s="525"/>
      <c r="UBT3" s="525"/>
      <c r="UBU3" s="525"/>
      <c r="UBV3" s="525"/>
      <c r="UBW3" s="525"/>
      <c r="UBX3" s="525"/>
      <c r="UBY3" s="525"/>
      <c r="UBZ3" s="525"/>
      <c r="UCA3" s="525"/>
      <c r="UCB3" s="525"/>
      <c r="UCC3" s="525"/>
      <c r="UCD3" s="525"/>
      <c r="UCE3" s="525"/>
      <c r="UCF3" s="525"/>
      <c r="UCG3" s="525"/>
      <c r="UCH3" s="525"/>
      <c r="UCI3" s="525"/>
      <c r="UCJ3" s="525"/>
      <c r="UCK3" s="525"/>
      <c r="UCL3" s="525"/>
      <c r="UCM3" s="525"/>
      <c r="UCN3" s="525"/>
      <c r="UCO3" s="525"/>
      <c r="UCP3" s="525"/>
      <c r="UCQ3" s="525"/>
      <c r="UCR3" s="525"/>
      <c r="UCS3" s="525"/>
      <c r="UCT3" s="525"/>
      <c r="UCU3" s="525"/>
      <c r="UCV3" s="525"/>
      <c r="UCW3" s="525"/>
      <c r="UCX3" s="525"/>
      <c r="UCY3" s="525"/>
      <c r="UCZ3" s="525"/>
      <c r="UDA3" s="525"/>
      <c r="UDB3" s="525"/>
      <c r="UDC3" s="525"/>
      <c r="UDD3" s="525"/>
      <c r="UDE3" s="525"/>
      <c r="UDF3" s="525"/>
      <c r="UDG3" s="525"/>
      <c r="UDH3" s="525"/>
      <c r="UDI3" s="525"/>
      <c r="UDJ3" s="525"/>
      <c r="UDK3" s="525"/>
      <c r="UDL3" s="525"/>
      <c r="UDM3" s="525"/>
      <c r="UDN3" s="525"/>
      <c r="UDO3" s="525"/>
      <c r="UDP3" s="525"/>
      <c r="UDQ3" s="525"/>
      <c r="UDR3" s="525"/>
      <c r="UDS3" s="525"/>
      <c r="UDT3" s="525"/>
      <c r="UDU3" s="525"/>
      <c r="UDV3" s="525"/>
      <c r="UDW3" s="525"/>
      <c r="UDX3" s="525"/>
      <c r="UDY3" s="525"/>
      <c r="UDZ3" s="525"/>
      <c r="UEA3" s="525"/>
      <c r="UEB3" s="525"/>
      <c r="UEC3" s="525"/>
      <c r="UED3" s="525"/>
      <c r="UEE3" s="525"/>
      <c r="UEF3" s="525"/>
      <c r="UEG3" s="525"/>
      <c r="UEH3" s="525"/>
      <c r="UEI3" s="525"/>
      <c r="UEJ3" s="525"/>
      <c r="UEK3" s="525"/>
      <c r="UEL3" s="525"/>
      <c r="UEM3" s="525"/>
      <c r="UEN3" s="525"/>
      <c r="UEO3" s="525"/>
      <c r="UEP3" s="525"/>
      <c r="UEQ3" s="525"/>
      <c r="UER3" s="525"/>
      <c r="UES3" s="525"/>
      <c r="UET3" s="525"/>
      <c r="UEU3" s="525"/>
      <c r="UEV3" s="525"/>
      <c r="UEW3" s="525"/>
      <c r="UEX3" s="525"/>
      <c r="UEY3" s="525"/>
      <c r="UEZ3" s="525"/>
      <c r="UFA3" s="525"/>
      <c r="UFB3" s="525"/>
      <c r="UFC3" s="525"/>
      <c r="UFD3" s="525"/>
      <c r="UFE3" s="525"/>
      <c r="UFF3" s="525"/>
      <c r="UFG3" s="525"/>
      <c r="UFH3" s="525"/>
      <c r="UFI3" s="525"/>
      <c r="UFJ3" s="525"/>
      <c r="UFK3" s="525"/>
      <c r="UFL3" s="525"/>
      <c r="UFM3" s="525"/>
      <c r="UFN3" s="525"/>
      <c r="UFO3" s="525"/>
      <c r="UFP3" s="525"/>
      <c r="UFQ3" s="525"/>
      <c r="UFR3" s="525"/>
      <c r="UFS3" s="525"/>
      <c r="UFT3" s="525"/>
      <c r="UFU3" s="525"/>
      <c r="UFV3" s="525"/>
      <c r="UFW3" s="525"/>
      <c r="UFX3" s="525"/>
      <c r="UFY3" s="525"/>
      <c r="UFZ3" s="525"/>
      <c r="UGA3" s="525"/>
      <c r="UGB3" s="525"/>
      <c r="UGC3" s="525"/>
      <c r="UGD3" s="525"/>
      <c r="UGE3" s="525"/>
      <c r="UGF3" s="525"/>
      <c r="UGG3" s="525"/>
      <c r="UGH3" s="525"/>
      <c r="UGI3" s="525"/>
      <c r="UGJ3" s="525"/>
      <c r="UGK3" s="525"/>
      <c r="UGL3" s="525"/>
      <c r="UGM3" s="525"/>
      <c r="UGN3" s="525"/>
      <c r="UGO3" s="525"/>
      <c r="UGP3" s="525"/>
      <c r="UGQ3" s="525"/>
      <c r="UGR3" s="525"/>
      <c r="UGS3" s="525"/>
      <c r="UGT3" s="525"/>
      <c r="UGU3" s="525"/>
      <c r="UGV3" s="525"/>
      <c r="UGW3" s="525"/>
      <c r="UGX3" s="525"/>
      <c r="UGY3" s="525"/>
      <c r="UGZ3" s="525"/>
      <c r="UHA3" s="525"/>
      <c r="UHB3" s="525"/>
      <c r="UHC3" s="525"/>
      <c r="UHD3" s="525"/>
      <c r="UHE3" s="525"/>
      <c r="UHF3" s="525"/>
      <c r="UHG3" s="525"/>
      <c r="UHH3" s="525"/>
      <c r="UHI3" s="525"/>
      <c r="UHJ3" s="525"/>
      <c r="UHK3" s="525"/>
      <c r="UHL3" s="525"/>
      <c r="UHM3" s="525"/>
      <c r="UHN3" s="525"/>
      <c r="UHO3" s="525"/>
      <c r="UHP3" s="525"/>
      <c r="UHQ3" s="525"/>
      <c r="UHR3" s="525"/>
      <c r="UHS3" s="525"/>
      <c r="UHT3" s="525"/>
      <c r="UHU3" s="525"/>
      <c r="UHV3" s="525"/>
      <c r="UHW3" s="525"/>
      <c r="UHX3" s="525"/>
      <c r="UHY3" s="525"/>
      <c r="UHZ3" s="525"/>
      <c r="UIA3" s="525"/>
      <c r="UIB3" s="525"/>
      <c r="UIC3" s="525"/>
      <c r="UID3" s="525"/>
      <c r="UIE3" s="525"/>
      <c r="UIF3" s="525"/>
      <c r="UIG3" s="525"/>
      <c r="UIH3" s="525"/>
      <c r="UII3" s="525"/>
      <c r="UIJ3" s="525"/>
      <c r="UIK3" s="525"/>
      <c r="UIL3" s="525"/>
      <c r="UIM3" s="525"/>
      <c r="UIN3" s="525"/>
      <c r="UIO3" s="525"/>
      <c r="UIP3" s="525"/>
      <c r="UIQ3" s="525"/>
      <c r="UIR3" s="525"/>
      <c r="UIS3" s="525"/>
      <c r="UIT3" s="525"/>
      <c r="UIU3" s="525"/>
      <c r="UIV3" s="525"/>
      <c r="UIW3" s="525"/>
      <c r="UIX3" s="525"/>
      <c r="UIY3" s="525"/>
      <c r="UIZ3" s="525"/>
      <c r="UJA3" s="525"/>
      <c r="UJB3" s="525"/>
      <c r="UJC3" s="525"/>
      <c r="UJD3" s="525"/>
      <c r="UJE3" s="525"/>
      <c r="UJF3" s="525"/>
      <c r="UJG3" s="525"/>
      <c r="UJH3" s="525"/>
      <c r="UJI3" s="525"/>
      <c r="UJJ3" s="525"/>
      <c r="UJK3" s="525"/>
      <c r="UJL3" s="525"/>
      <c r="UJM3" s="525"/>
      <c r="UJN3" s="525"/>
      <c r="UJO3" s="525"/>
      <c r="UJP3" s="525"/>
      <c r="UJQ3" s="525"/>
      <c r="UJR3" s="525"/>
      <c r="UJS3" s="525"/>
      <c r="UJT3" s="525"/>
      <c r="UJU3" s="525"/>
      <c r="UJV3" s="525"/>
      <c r="UJW3" s="525"/>
      <c r="UJX3" s="525"/>
      <c r="UJY3" s="525"/>
      <c r="UJZ3" s="525"/>
      <c r="UKA3" s="525"/>
      <c r="UKB3" s="525"/>
      <c r="UKC3" s="525"/>
      <c r="UKD3" s="525"/>
      <c r="UKE3" s="525"/>
      <c r="UKF3" s="525"/>
      <c r="UKG3" s="525"/>
      <c r="UKH3" s="525"/>
      <c r="UKI3" s="525"/>
      <c r="UKJ3" s="525"/>
      <c r="UKK3" s="525"/>
      <c r="UKL3" s="525"/>
      <c r="UKM3" s="525"/>
      <c r="UKN3" s="525"/>
      <c r="UKO3" s="525"/>
      <c r="UKP3" s="525"/>
      <c r="UKQ3" s="525"/>
      <c r="UKR3" s="525"/>
      <c r="UKS3" s="525"/>
      <c r="UKT3" s="525"/>
      <c r="UKU3" s="525"/>
      <c r="UKV3" s="525"/>
      <c r="UKW3" s="525"/>
      <c r="UKX3" s="525"/>
      <c r="UKY3" s="525"/>
      <c r="UKZ3" s="525"/>
      <c r="ULA3" s="525"/>
      <c r="ULB3" s="525"/>
      <c r="ULC3" s="525"/>
      <c r="ULD3" s="525"/>
      <c r="ULE3" s="525"/>
      <c r="ULF3" s="525"/>
      <c r="ULG3" s="525"/>
      <c r="ULH3" s="525"/>
      <c r="ULI3" s="525"/>
      <c r="ULJ3" s="525"/>
      <c r="ULK3" s="525"/>
      <c r="ULL3" s="525"/>
      <c r="ULM3" s="525"/>
      <c r="ULN3" s="525"/>
      <c r="ULO3" s="525"/>
      <c r="ULP3" s="525"/>
      <c r="ULQ3" s="525"/>
      <c r="ULR3" s="525"/>
      <c r="ULS3" s="525"/>
      <c r="ULT3" s="525"/>
      <c r="ULU3" s="525"/>
      <c r="ULV3" s="525"/>
      <c r="ULW3" s="525"/>
      <c r="ULX3" s="525"/>
      <c r="ULY3" s="525"/>
      <c r="ULZ3" s="525"/>
      <c r="UMA3" s="525"/>
      <c r="UMB3" s="525"/>
      <c r="UMC3" s="525"/>
      <c r="UMD3" s="525"/>
      <c r="UME3" s="525"/>
      <c r="UMF3" s="525"/>
      <c r="UMG3" s="525"/>
      <c r="UMH3" s="525"/>
      <c r="UMI3" s="525"/>
      <c r="UMJ3" s="525"/>
      <c r="UMK3" s="525"/>
      <c r="UML3" s="525"/>
      <c r="UMM3" s="525"/>
      <c r="UMN3" s="525"/>
      <c r="UMO3" s="525"/>
      <c r="UMP3" s="525"/>
      <c r="UMQ3" s="525"/>
      <c r="UMR3" s="525"/>
      <c r="UMS3" s="525"/>
      <c r="UMT3" s="525"/>
      <c r="UMU3" s="525"/>
      <c r="UMV3" s="525"/>
      <c r="UMW3" s="525"/>
      <c r="UMX3" s="525"/>
      <c r="UMY3" s="525"/>
      <c r="UMZ3" s="525"/>
      <c r="UNA3" s="525"/>
      <c r="UNB3" s="525"/>
      <c r="UNC3" s="525"/>
      <c r="UND3" s="525"/>
      <c r="UNE3" s="525"/>
      <c r="UNF3" s="525"/>
      <c r="UNG3" s="525"/>
      <c r="UNH3" s="525"/>
      <c r="UNI3" s="525"/>
      <c r="UNJ3" s="525"/>
      <c r="UNK3" s="525"/>
      <c r="UNL3" s="525"/>
      <c r="UNM3" s="525"/>
      <c r="UNN3" s="525"/>
      <c r="UNO3" s="525"/>
      <c r="UNP3" s="525"/>
      <c r="UNQ3" s="525"/>
      <c r="UNR3" s="525"/>
      <c r="UNS3" s="525"/>
      <c r="UNT3" s="525"/>
      <c r="UNU3" s="525"/>
      <c r="UNV3" s="525"/>
      <c r="UNW3" s="525"/>
      <c r="UNX3" s="525"/>
      <c r="UNY3" s="525"/>
      <c r="UNZ3" s="525"/>
      <c r="UOA3" s="525"/>
      <c r="UOB3" s="525"/>
      <c r="UOC3" s="525"/>
      <c r="UOD3" s="525"/>
      <c r="UOE3" s="525"/>
      <c r="UOF3" s="525"/>
      <c r="UOG3" s="525"/>
      <c r="UOH3" s="525"/>
      <c r="UOI3" s="525"/>
      <c r="UOJ3" s="525"/>
      <c r="UOK3" s="525"/>
      <c r="UOL3" s="525"/>
      <c r="UOM3" s="525"/>
      <c r="UON3" s="525"/>
      <c r="UOO3" s="525"/>
      <c r="UOP3" s="525"/>
      <c r="UOQ3" s="525"/>
      <c r="UOR3" s="525"/>
      <c r="UOS3" s="525"/>
      <c r="UOT3" s="525"/>
      <c r="UOU3" s="525"/>
      <c r="UOV3" s="525"/>
      <c r="UOW3" s="525"/>
      <c r="UOX3" s="525"/>
      <c r="UOY3" s="525"/>
      <c r="UOZ3" s="525"/>
      <c r="UPA3" s="525"/>
      <c r="UPB3" s="525"/>
      <c r="UPC3" s="525"/>
      <c r="UPD3" s="525"/>
      <c r="UPE3" s="525"/>
      <c r="UPF3" s="525"/>
      <c r="UPG3" s="525"/>
      <c r="UPH3" s="525"/>
      <c r="UPI3" s="525"/>
      <c r="UPJ3" s="525"/>
      <c r="UPK3" s="525"/>
      <c r="UPL3" s="525"/>
      <c r="UPM3" s="525"/>
      <c r="UPN3" s="525"/>
      <c r="UPO3" s="525"/>
      <c r="UPP3" s="525"/>
      <c r="UPQ3" s="525"/>
      <c r="UPR3" s="525"/>
      <c r="UPS3" s="525"/>
      <c r="UPT3" s="525"/>
      <c r="UPU3" s="525"/>
      <c r="UPV3" s="525"/>
      <c r="UPW3" s="525"/>
      <c r="UPX3" s="525"/>
      <c r="UPY3" s="525"/>
      <c r="UPZ3" s="525"/>
      <c r="UQA3" s="525"/>
      <c r="UQB3" s="525"/>
      <c r="UQC3" s="525"/>
      <c r="UQD3" s="525"/>
      <c r="UQE3" s="525"/>
      <c r="UQF3" s="525"/>
      <c r="UQG3" s="525"/>
      <c r="UQH3" s="525"/>
      <c r="UQI3" s="525"/>
      <c r="UQJ3" s="525"/>
      <c r="UQK3" s="525"/>
      <c r="UQL3" s="525"/>
      <c r="UQM3" s="525"/>
      <c r="UQN3" s="525"/>
      <c r="UQO3" s="525"/>
      <c r="UQP3" s="525"/>
      <c r="UQQ3" s="525"/>
      <c r="UQR3" s="525"/>
      <c r="UQS3" s="525"/>
      <c r="UQT3" s="525"/>
      <c r="UQU3" s="525"/>
      <c r="UQV3" s="525"/>
      <c r="UQW3" s="525"/>
      <c r="UQX3" s="525"/>
      <c r="UQY3" s="525"/>
      <c r="UQZ3" s="525"/>
      <c r="URA3" s="525"/>
      <c r="URB3" s="525"/>
      <c r="URC3" s="525"/>
      <c r="URD3" s="525"/>
      <c r="URE3" s="525"/>
      <c r="URF3" s="525"/>
      <c r="URG3" s="525"/>
      <c r="URH3" s="525"/>
      <c r="URI3" s="525"/>
      <c r="URJ3" s="525"/>
      <c r="URK3" s="525"/>
      <c r="URL3" s="525"/>
      <c r="URM3" s="525"/>
      <c r="URN3" s="525"/>
      <c r="URO3" s="525"/>
      <c r="URP3" s="525"/>
      <c r="URQ3" s="525"/>
      <c r="URR3" s="525"/>
      <c r="URS3" s="525"/>
      <c r="URT3" s="525"/>
      <c r="URU3" s="525"/>
      <c r="URV3" s="525"/>
      <c r="URW3" s="525"/>
      <c r="URX3" s="525"/>
      <c r="URY3" s="525"/>
      <c r="URZ3" s="525"/>
      <c r="USA3" s="525"/>
      <c r="USB3" s="525"/>
      <c r="USC3" s="525"/>
      <c r="USD3" s="525"/>
      <c r="USE3" s="525"/>
      <c r="USF3" s="525"/>
      <c r="USG3" s="525"/>
      <c r="USH3" s="525"/>
      <c r="USI3" s="525"/>
      <c r="USJ3" s="525"/>
      <c r="USK3" s="525"/>
      <c r="USL3" s="525"/>
      <c r="USM3" s="525"/>
      <c r="USN3" s="525"/>
      <c r="USO3" s="525"/>
      <c r="USP3" s="525"/>
      <c r="USQ3" s="525"/>
      <c r="USR3" s="525"/>
      <c r="USS3" s="525"/>
      <c r="UST3" s="525"/>
      <c r="USU3" s="525"/>
      <c r="USV3" s="525"/>
      <c r="USW3" s="525"/>
      <c r="USX3" s="525"/>
      <c r="USY3" s="525"/>
      <c r="USZ3" s="525"/>
      <c r="UTA3" s="525"/>
      <c r="UTB3" s="525"/>
      <c r="UTC3" s="525"/>
      <c r="UTD3" s="525"/>
      <c r="UTE3" s="525"/>
      <c r="UTF3" s="525"/>
      <c r="UTG3" s="525"/>
      <c r="UTH3" s="525"/>
      <c r="UTI3" s="525"/>
      <c r="UTJ3" s="525"/>
      <c r="UTK3" s="525"/>
      <c r="UTL3" s="525"/>
      <c r="UTM3" s="525"/>
      <c r="UTN3" s="525"/>
      <c r="UTO3" s="525"/>
      <c r="UTP3" s="525"/>
      <c r="UTQ3" s="525"/>
      <c r="UTR3" s="525"/>
      <c r="UTS3" s="525"/>
      <c r="UTT3" s="525"/>
      <c r="UTU3" s="525"/>
      <c r="UTV3" s="525"/>
      <c r="UTW3" s="525"/>
      <c r="UTX3" s="525"/>
      <c r="UTY3" s="525"/>
      <c r="UTZ3" s="525"/>
      <c r="UUA3" s="525"/>
      <c r="UUB3" s="525"/>
      <c r="UUC3" s="525"/>
      <c r="UUD3" s="525"/>
      <c r="UUE3" s="525"/>
      <c r="UUF3" s="525"/>
      <c r="UUG3" s="525"/>
      <c r="UUH3" s="525"/>
      <c r="UUI3" s="525"/>
      <c r="UUJ3" s="525"/>
      <c r="UUK3" s="525"/>
      <c r="UUL3" s="525"/>
      <c r="UUM3" s="525"/>
      <c r="UUN3" s="525"/>
      <c r="UUO3" s="525"/>
      <c r="UUP3" s="525"/>
      <c r="UUQ3" s="525"/>
      <c r="UUR3" s="525"/>
      <c r="UUS3" s="525"/>
      <c r="UUT3" s="525"/>
      <c r="UUU3" s="525"/>
      <c r="UUV3" s="525"/>
      <c r="UUW3" s="525"/>
      <c r="UUX3" s="525"/>
      <c r="UUY3" s="525"/>
      <c r="UUZ3" s="525"/>
      <c r="UVA3" s="525"/>
      <c r="UVB3" s="525"/>
      <c r="UVC3" s="525"/>
      <c r="UVD3" s="525"/>
      <c r="UVE3" s="525"/>
      <c r="UVF3" s="525"/>
      <c r="UVG3" s="525"/>
      <c r="UVH3" s="525"/>
      <c r="UVI3" s="525"/>
      <c r="UVJ3" s="525"/>
      <c r="UVK3" s="525"/>
      <c r="UVL3" s="525"/>
      <c r="UVM3" s="525"/>
      <c r="UVN3" s="525"/>
      <c r="UVO3" s="525"/>
      <c r="UVP3" s="525"/>
      <c r="UVQ3" s="525"/>
      <c r="UVR3" s="525"/>
      <c r="UVS3" s="525"/>
      <c r="UVT3" s="525"/>
      <c r="UVU3" s="525"/>
      <c r="UVV3" s="525"/>
      <c r="UVW3" s="525"/>
      <c r="UVX3" s="525"/>
      <c r="UVY3" s="525"/>
      <c r="UVZ3" s="525"/>
      <c r="UWA3" s="525"/>
      <c r="UWB3" s="525"/>
      <c r="UWC3" s="525"/>
      <c r="UWD3" s="525"/>
      <c r="UWE3" s="525"/>
      <c r="UWF3" s="525"/>
      <c r="UWG3" s="525"/>
      <c r="UWH3" s="525"/>
      <c r="UWI3" s="525"/>
      <c r="UWJ3" s="525"/>
      <c r="UWK3" s="525"/>
      <c r="UWL3" s="525"/>
      <c r="UWM3" s="525"/>
      <c r="UWN3" s="525"/>
      <c r="UWO3" s="525"/>
      <c r="UWP3" s="525"/>
      <c r="UWQ3" s="525"/>
      <c r="UWR3" s="525"/>
      <c r="UWS3" s="525"/>
      <c r="UWT3" s="525"/>
      <c r="UWU3" s="525"/>
      <c r="UWV3" s="525"/>
      <c r="UWW3" s="525"/>
      <c r="UWX3" s="525"/>
      <c r="UWY3" s="525"/>
      <c r="UWZ3" s="525"/>
      <c r="UXA3" s="525"/>
      <c r="UXB3" s="525"/>
      <c r="UXC3" s="525"/>
      <c r="UXD3" s="525"/>
      <c r="UXE3" s="525"/>
      <c r="UXF3" s="525"/>
      <c r="UXG3" s="525"/>
      <c r="UXH3" s="525"/>
      <c r="UXI3" s="525"/>
      <c r="UXJ3" s="525"/>
      <c r="UXK3" s="525"/>
      <c r="UXL3" s="525"/>
      <c r="UXM3" s="525"/>
      <c r="UXN3" s="525"/>
      <c r="UXO3" s="525"/>
      <c r="UXP3" s="525"/>
      <c r="UXQ3" s="525"/>
      <c r="UXR3" s="525"/>
      <c r="UXS3" s="525"/>
      <c r="UXT3" s="525"/>
      <c r="UXU3" s="525"/>
      <c r="UXV3" s="525"/>
      <c r="UXW3" s="525"/>
      <c r="UXX3" s="525"/>
      <c r="UXY3" s="525"/>
      <c r="UXZ3" s="525"/>
      <c r="UYA3" s="525"/>
      <c r="UYB3" s="525"/>
      <c r="UYC3" s="525"/>
      <c r="UYD3" s="525"/>
      <c r="UYE3" s="525"/>
      <c r="UYF3" s="525"/>
      <c r="UYG3" s="525"/>
      <c r="UYH3" s="525"/>
      <c r="UYI3" s="525"/>
      <c r="UYJ3" s="525"/>
      <c r="UYK3" s="525"/>
      <c r="UYL3" s="525"/>
      <c r="UYM3" s="525"/>
      <c r="UYN3" s="525"/>
      <c r="UYO3" s="525"/>
      <c r="UYP3" s="525"/>
      <c r="UYQ3" s="525"/>
      <c r="UYR3" s="525"/>
      <c r="UYS3" s="525"/>
      <c r="UYT3" s="525"/>
      <c r="UYU3" s="525"/>
      <c r="UYV3" s="525"/>
      <c r="UYW3" s="525"/>
      <c r="UYX3" s="525"/>
      <c r="UYY3" s="525"/>
      <c r="UYZ3" s="525"/>
      <c r="UZA3" s="525"/>
      <c r="UZB3" s="525"/>
      <c r="UZC3" s="525"/>
      <c r="UZD3" s="525"/>
      <c r="UZE3" s="525"/>
      <c r="UZF3" s="525"/>
      <c r="UZG3" s="525"/>
      <c r="UZH3" s="525"/>
      <c r="UZI3" s="525"/>
      <c r="UZJ3" s="525"/>
      <c r="UZK3" s="525"/>
      <c r="UZL3" s="525"/>
      <c r="UZM3" s="525"/>
      <c r="UZN3" s="525"/>
      <c r="UZO3" s="525"/>
      <c r="UZP3" s="525"/>
      <c r="UZQ3" s="525"/>
      <c r="UZR3" s="525"/>
      <c r="UZS3" s="525"/>
      <c r="UZT3" s="525"/>
      <c r="UZU3" s="525"/>
      <c r="UZV3" s="525"/>
      <c r="UZW3" s="525"/>
      <c r="UZX3" s="525"/>
      <c r="UZY3" s="525"/>
      <c r="UZZ3" s="525"/>
      <c r="VAA3" s="525"/>
      <c r="VAB3" s="525"/>
      <c r="VAC3" s="525"/>
      <c r="VAD3" s="525"/>
      <c r="VAE3" s="525"/>
      <c r="VAF3" s="525"/>
      <c r="VAG3" s="525"/>
      <c r="VAH3" s="525"/>
      <c r="VAI3" s="525"/>
      <c r="VAJ3" s="525"/>
      <c r="VAK3" s="525"/>
      <c r="VAL3" s="525"/>
      <c r="VAM3" s="525"/>
      <c r="VAN3" s="525"/>
      <c r="VAO3" s="525"/>
      <c r="VAP3" s="525"/>
      <c r="VAQ3" s="525"/>
      <c r="VAR3" s="525"/>
      <c r="VAS3" s="525"/>
      <c r="VAT3" s="525"/>
      <c r="VAU3" s="525"/>
      <c r="VAV3" s="525"/>
      <c r="VAW3" s="525"/>
      <c r="VAX3" s="525"/>
      <c r="VAY3" s="525"/>
      <c r="VAZ3" s="525"/>
      <c r="VBA3" s="525"/>
      <c r="VBB3" s="525"/>
      <c r="VBC3" s="525"/>
      <c r="VBD3" s="525"/>
      <c r="VBE3" s="525"/>
      <c r="VBF3" s="525"/>
      <c r="VBG3" s="525"/>
      <c r="VBH3" s="525"/>
      <c r="VBI3" s="525"/>
      <c r="VBJ3" s="525"/>
      <c r="VBK3" s="525"/>
      <c r="VBL3" s="525"/>
      <c r="VBM3" s="525"/>
      <c r="VBN3" s="525"/>
      <c r="VBO3" s="525"/>
      <c r="VBP3" s="525"/>
      <c r="VBQ3" s="525"/>
      <c r="VBR3" s="525"/>
      <c r="VBS3" s="525"/>
      <c r="VBT3" s="525"/>
      <c r="VBU3" s="525"/>
      <c r="VBV3" s="525"/>
      <c r="VBW3" s="525"/>
      <c r="VBX3" s="525"/>
      <c r="VBY3" s="525"/>
      <c r="VBZ3" s="525"/>
      <c r="VCA3" s="525"/>
      <c r="VCB3" s="525"/>
      <c r="VCC3" s="525"/>
      <c r="VCD3" s="525"/>
      <c r="VCE3" s="525"/>
      <c r="VCF3" s="525"/>
      <c r="VCG3" s="525"/>
      <c r="VCH3" s="525"/>
      <c r="VCI3" s="525"/>
      <c r="VCJ3" s="525"/>
      <c r="VCK3" s="525"/>
      <c r="VCL3" s="525"/>
      <c r="VCM3" s="525"/>
      <c r="VCN3" s="525"/>
      <c r="VCO3" s="525"/>
      <c r="VCP3" s="525"/>
      <c r="VCQ3" s="525"/>
      <c r="VCR3" s="525"/>
      <c r="VCS3" s="525"/>
      <c r="VCT3" s="525"/>
      <c r="VCU3" s="525"/>
      <c r="VCV3" s="525"/>
      <c r="VCW3" s="525"/>
      <c r="VCX3" s="525"/>
      <c r="VCY3" s="525"/>
      <c r="VCZ3" s="525"/>
      <c r="VDA3" s="525"/>
      <c r="VDB3" s="525"/>
      <c r="VDC3" s="525"/>
      <c r="VDD3" s="525"/>
      <c r="VDE3" s="525"/>
      <c r="VDF3" s="525"/>
      <c r="VDG3" s="525"/>
      <c r="VDH3" s="525"/>
      <c r="VDI3" s="525"/>
      <c r="VDJ3" s="525"/>
      <c r="VDK3" s="525"/>
      <c r="VDL3" s="525"/>
      <c r="VDM3" s="525"/>
      <c r="VDN3" s="525"/>
      <c r="VDO3" s="525"/>
      <c r="VDP3" s="525"/>
      <c r="VDQ3" s="525"/>
      <c r="VDR3" s="525"/>
      <c r="VDS3" s="525"/>
      <c r="VDT3" s="525"/>
      <c r="VDU3" s="525"/>
      <c r="VDV3" s="525"/>
      <c r="VDW3" s="525"/>
      <c r="VDX3" s="525"/>
      <c r="VDY3" s="525"/>
      <c r="VDZ3" s="525"/>
      <c r="VEA3" s="525"/>
      <c r="VEB3" s="525"/>
      <c r="VEC3" s="525"/>
      <c r="VED3" s="525"/>
      <c r="VEE3" s="525"/>
      <c r="VEF3" s="525"/>
      <c r="VEG3" s="525"/>
      <c r="VEH3" s="525"/>
      <c r="VEI3" s="525"/>
      <c r="VEJ3" s="525"/>
      <c r="VEK3" s="525"/>
      <c r="VEL3" s="525"/>
      <c r="VEM3" s="525"/>
      <c r="VEN3" s="525"/>
      <c r="VEO3" s="525"/>
      <c r="VEP3" s="525"/>
      <c r="VEQ3" s="525"/>
      <c r="VER3" s="525"/>
      <c r="VES3" s="525"/>
      <c r="VET3" s="525"/>
      <c r="VEU3" s="525"/>
      <c r="VEV3" s="525"/>
      <c r="VEW3" s="525"/>
      <c r="VEX3" s="525"/>
      <c r="VEY3" s="525"/>
      <c r="VEZ3" s="525"/>
      <c r="VFA3" s="525"/>
      <c r="VFB3" s="525"/>
      <c r="VFC3" s="525"/>
      <c r="VFD3" s="525"/>
      <c r="VFE3" s="525"/>
      <c r="VFF3" s="525"/>
      <c r="VFG3" s="525"/>
      <c r="VFH3" s="525"/>
      <c r="VFI3" s="525"/>
      <c r="VFJ3" s="525"/>
      <c r="VFK3" s="525"/>
      <c r="VFL3" s="525"/>
      <c r="VFM3" s="525"/>
      <c r="VFN3" s="525"/>
      <c r="VFO3" s="525"/>
      <c r="VFP3" s="525"/>
      <c r="VFQ3" s="525"/>
      <c r="VFR3" s="525"/>
      <c r="VFS3" s="525"/>
      <c r="VFT3" s="525"/>
      <c r="VFU3" s="525"/>
      <c r="VFV3" s="525"/>
      <c r="VFW3" s="525"/>
      <c r="VFX3" s="525"/>
      <c r="VFY3" s="525"/>
      <c r="VFZ3" s="525"/>
      <c r="VGA3" s="525"/>
      <c r="VGB3" s="525"/>
      <c r="VGC3" s="525"/>
      <c r="VGD3" s="525"/>
      <c r="VGE3" s="525"/>
      <c r="VGF3" s="525"/>
      <c r="VGG3" s="525"/>
      <c r="VGH3" s="525"/>
      <c r="VGI3" s="525"/>
      <c r="VGJ3" s="525"/>
      <c r="VGK3" s="525"/>
      <c r="VGL3" s="525"/>
      <c r="VGM3" s="525"/>
      <c r="VGN3" s="525"/>
      <c r="VGO3" s="525"/>
      <c r="VGP3" s="525"/>
      <c r="VGQ3" s="525"/>
      <c r="VGR3" s="525"/>
      <c r="VGS3" s="525"/>
      <c r="VGT3" s="525"/>
      <c r="VGU3" s="525"/>
      <c r="VGV3" s="525"/>
      <c r="VGW3" s="525"/>
      <c r="VGX3" s="525"/>
      <c r="VGY3" s="525"/>
      <c r="VGZ3" s="525"/>
      <c r="VHA3" s="525"/>
      <c r="VHB3" s="525"/>
      <c r="VHC3" s="525"/>
      <c r="VHD3" s="525"/>
      <c r="VHE3" s="525"/>
      <c r="VHF3" s="525"/>
      <c r="VHG3" s="525"/>
      <c r="VHH3" s="525"/>
      <c r="VHI3" s="525"/>
      <c r="VHJ3" s="525"/>
      <c r="VHK3" s="525"/>
      <c r="VHL3" s="525"/>
      <c r="VHM3" s="525"/>
      <c r="VHN3" s="525"/>
      <c r="VHO3" s="525"/>
      <c r="VHP3" s="525"/>
      <c r="VHQ3" s="525"/>
      <c r="VHR3" s="525"/>
      <c r="VHS3" s="525"/>
      <c r="VHT3" s="525"/>
      <c r="VHU3" s="525"/>
      <c r="VHV3" s="525"/>
      <c r="VHW3" s="525"/>
      <c r="VHX3" s="525"/>
      <c r="VHY3" s="525"/>
      <c r="VHZ3" s="525"/>
      <c r="VIA3" s="525"/>
      <c r="VIB3" s="525"/>
      <c r="VIC3" s="525"/>
      <c r="VID3" s="525"/>
      <c r="VIE3" s="525"/>
      <c r="VIF3" s="525"/>
      <c r="VIG3" s="525"/>
      <c r="VIH3" s="525"/>
      <c r="VII3" s="525"/>
      <c r="VIJ3" s="525"/>
      <c r="VIK3" s="525"/>
      <c r="VIL3" s="525"/>
      <c r="VIM3" s="525"/>
      <c r="VIN3" s="525"/>
      <c r="VIO3" s="525"/>
      <c r="VIP3" s="525"/>
      <c r="VIQ3" s="525"/>
      <c r="VIR3" s="525"/>
      <c r="VIS3" s="525"/>
      <c r="VIT3" s="525"/>
      <c r="VIU3" s="525"/>
      <c r="VIV3" s="525"/>
      <c r="VIW3" s="525"/>
      <c r="VIX3" s="525"/>
      <c r="VIY3" s="525"/>
      <c r="VIZ3" s="525"/>
      <c r="VJA3" s="525"/>
      <c r="VJB3" s="525"/>
      <c r="VJC3" s="525"/>
      <c r="VJD3" s="525"/>
      <c r="VJE3" s="525"/>
      <c r="VJF3" s="525"/>
      <c r="VJG3" s="525"/>
      <c r="VJH3" s="525"/>
      <c r="VJI3" s="525"/>
      <c r="VJJ3" s="525"/>
      <c r="VJK3" s="525"/>
      <c r="VJL3" s="525"/>
      <c r="VJM3" s="525"/>
      <c r="VJN3" s="525"/>
      <c r="VJO3" s="525"/>
      <c r="VJP3" s="525"/>
      <c r="VJQ3" s="525"/>
      <c r="VJR3" s="525"/>
      <c r="VJS3" s="525"/>
      <c r="VJT3" s="525"/>
      <c r="VJU3" s="525"/>
      <c r="VJV3" s="525"/>
      <c r="VJW3" s="525"/>
      <c r="VJX3" s="525"/>
      <c r="VJY3" s="525"/>
      <c r="VJZ3" s="525"/>
      <c r="VKA3" s="525"/>
      <c r="VKB3" s="525"/>
      <c r="VKC3" s="525"/>
      <c r="VKD3" s="525"/>
      <c r="VKE3" s="525"/>
      <c r="VKF3" s="525"/>
      <c r="VKG3" s="525"/>
      <c r="VKH3" s="525"/>
      <c r="VKI3" s="525"/>
      <c r="VKJ3" s="525"/>
      <c r="VKK3" s="525"/>
      <c r="VKL3" s="525"/>
      <c r="VKM3" s="525"/>
      <c r="VKN3" s="525"/>
      <c r="VKO3" s="525"/>
      <c r="VKP3" s="525"/>
      <c r="VKQ3" s="525"/>
      <c r="VKR3" s="525"/>
      <c r="VKS3" s="525"/>
      <c r="VKT3" s="525"/>
      <c r="VKU3" s="525"/>
      <c r="VKV3" s="525"/>
      <c r="VKW3" s="525"/>
      <c r="VKX3" s="525"/>
      <c r="VKY3" s="525"/>
      <c r="VKZ3" s="525"/>
      <c r="VLA3" s="525"/>
      <c r="VLB3" s="525"/>
      <c r="VLC3" s="525"/>
      <c r="VLD3" s="525"/>
      <c r="VLE3" s="525"/>
      <c r="VLF3" s="525"/>
      <c r="VLG3" s="525"/>
      <c r="VLH3" s="525"/>
      <c r="VLI3" s="525"/>
      <c r="VLJ3" s="525"/>
      <c r="VLK3" s="525"/>
      <c r="VLL3" s="525"/>
      <c r="VLM3" s="525"/>
      <c r="VLN3" s="525"/>
      <c r="VLO3" s="525"/>
      <c r="VLP3" s="525"/>
      <c r="VLQ3" s="525"/>
      <c r="VLR3" s="525"/>
      <c r="VLS3" s="525"/>
      <c r="VLT3" s="525"/>
      <c r="VLU3" s="525"/>
      <c r="VLV3" s="525"/>
      <c r="VLW3" s="525"/>
      <c r="VLX3" s="525"/>
      <c r="VLY3" s="525"/>
      <c r="VLZ3" s="525"/>
      <c r="VMA3" s="525"/>
      <c r="VMB3" s="525"/>
      <c r="VMC3" s="525"/>
      <c r="VMD3" s="525"/>
      <c r="VME3" s="525"/>
      <c r="VMF3" s="525"/>
      <c r="VMG3" s="525"/>
      <c r="VMH3" s="525"/>
      <c r="VMI3" s="525"/>
      <c r="VMJ3" s="525"/>
      <c r="VMK3" s="525"/>
      <c r="VML3" s="525"/>
      <c r="VMM3" s="525"/>
      <c r="VMN3" s="525"/>
      <c r="VMO3" s="525"/>
      <c r="VMP3" s="525"/>
      <c r="VMQ3" s="525"/>
      <c r="VMR3" s="525"/>
      <c r="VMS3" s="525"/>
      <c r="VMT3" s="525"/>
      <c r="VMU3" s="525"/>
      <c r="VMV3" s="525"/>
      <c r="VMW3" s="525"/>
      <c r="VMX3" s="525"/>
      <c r="VMY3" s="525"/>
      <c r="VMZ3" s="525"/>
      <c r="VNA3" s="525"/>
      <c r="VNB3" s="525"/>
      <c r="VNC3" s="525"/>
      <c r="VND3" s="525"/>
      <c r="VNE3" s="525"/>
      <c r="VNF3" s="525"/>
      <c r="VNG3" s="525"/>
      <c r="VNH3" s="525"/>
      <c r="VNI3" s="525"/>
      <c r="VNJ3" s="525"/>
      <c r="VNK3" s="525"/>
      <c r="VNL3" s="525"/>
      <c r="VNM3" s="525"/>
      <c r="VNN3" s="525"/>
      <c r="VNO3" s="525"/>
      <c r="VNP3" s="525"/>
      <c r="VNQ3" s="525"/>
      <c r="VNR3" s="525"/>
      <c r="VNS3" s="525"/>
      <c r="VNT3" s="525"/>
      <c r="VNU3" s="525"/>
      <c r="VNV3" s="525"/>
      <c r="VNW3" s="525"/>
      <c r="VNX3" s="525"/>
      <c r="VNY3" s="525"/>
      <c r="VNZ3" s="525"/>
      <c r="VOA3" s="525"/>
      <c r="VOB3" s="525"/>
      <c r="VOC3" s="525"/>
      <c r="VOD3" s="525"/>
      <c r="VOE3" s="525"/>
      <c r="VOF3" s="525"/>
      <c r="VOG3" s="525"/>
      <c r="VOH3" s="525"/>
      <c r="VOI3" s="525"/>
      <c r="VOJ3" s="525"/>
      <c r="VOK3" s="525"/>
      <c r="VOL3" s="525"/>
      <c r="VOM3" s="525"/>
      <c r="VON3" s="525"/>
      <c r="VOO3" s="525"/>
      <c r="VOP3" s="525"/>
      <c r="VOQ3" s="525"/>
      <c r="VOR3" s="525"/>
      <c r="VOS3" s="525"/>
      <c r="VOT3" s="525"/>
      <c r="VOU3" s="525"/>
      <c r="VOV3" s="525"/>
      <c r="VOW3" s="525"/>
      <c r="VOX3" s="525"/>
      <c r="VOY3" s="525"/>
      <c r="VOZ3" s="525"/>
      <c r="VPA3" s="525"/>
      <c r="VPB3" s="525"/>
      <c r="VPC3" s="525"/>
      <c r="VPD3" s="525"/>
      <c r="VPE3" s="525"/>
      <c r="VPF3" s="525"/>
      <c r="VPG3" s="525"/>
      <c r="VPH3" s="525"/>
      <c r="VPI3" s="525"/>
      <c r="VPJ3" s="525"/>
      <c r="VPK3" s="525"/>
      <c r="VPL3" s="525"/>
      <c r="VPM3" s="525"/>
      <c r="VPN3" s="525"/>
      <c r="VPO3" s="525"/>
      <c r="VPP3" s="525"/>
      <c r="VPQ3" s="525"/>
      <c r="VPR3" s="525"/>
      <c r="VPS3" s="525"/>
      <c r="VPT3" s="525"/>
      <c r="VPU3" s="525"/>
      <c r="VPV3" s="525"/>
      <c r="VPW3" s="525"/>
      <c r="VPX3" s="525"/>
      <c r="VPY3" s="525"/>
      <c r="VPZ3" s="525"/>
      <c r="VQA3" s="525"/>
      <c r="VQB3" s="525"/>
      <c r="VQC3" s="525"/>
      <c r="VQD3" s="525"/>
      <c r="VQE3" s="525"/>
      <c r="VQF3" s="525"/>
      <c r="VQG3" s="525"/>
      <c r="VQH3" s="525"/>
      <c r="VQI3" s="525"/>
      <c r="VQJ3" s="525"/>
      <c r="VQK3" s="525"/>
      <c r="VQL3" s="525"/>
      <c r="VQM3" s="525"/>
      <c r="VQN3" s="525"/>
      <c r="VQO3" s="525"/>
      <c r="VQP3" s="525"/>
      <c r="VQQ3" s="525"/>
      <c r="VQR3" s="525"/>
      <c r="VQS3" s="525"/>
      <c r="VQT3" s="525"/>
      <c r="VQU3" s="525"/>
      <c r="VQV3" s="525"/>
      <c r="VQW3" s="525"/>
      <c r="VQX3" s="525"/>
      <c r="VQY3" s="525"/>
      <c r="VQZ3" s="525"/>
      <c r="VRA3" s="525"/>
      <c r="VRB3" s="525"/>
      <c r="VRC3" s="525"/>
      <c r="VRD3" s="525"/>
      <c r="VRE3" s="525"/>
      <c r="VRF3" s="525"/>
      <c r="VRG3" s="525"/>
      <c r="VRH3" s="525"/>
      <c r="VRI3" s="525"/>
      <c r="VRJ3" s="525"/>
      <c r="VRK3" s="525"/>
      <c r="VRL3" s="525"/>
      <c r="VRM3" s="525"/>
      <c r="VRN3" s="525"/>
      <c r="VRO3" s="525"/>
      <c r="VRP3" s="525"/>
      <c r="VRQ3" s="525"/>
      <c r="VRR3" s="525"/>
      <c r="VRS3" s="525"/>
      <c r="VRT3" s="525"/>
      <c r="VRU3" s="525"/>
      <c r="VRV3" s="525"/>
      <c r="VRW3" s="525"/>
      <c r="VRX3" s="525"/>
      <c r="VRY3" s="525"/>
      <c r="VRZ3" s="525"/>
      <c r="VSA3" s="525"/>
      <c r="VSB3" s="525"/>
      <c r="VSC3" s="525"/>
      <c r="VSD3" s="525"/>
      <c r="VSE3" s="525"/>
      <c r="VSF3" s="525"/>
      <c r="VSG3" s="525"/>
      <c r="VSH3" s="525"/>
      <c r="VSI3" s="525"/>
      <c r="VSJ3" s="525"/>
      <c r="VSK3" s="525"/>
      <c r="VSL3" s="525"/>
      <c r="VSM3" s="525"/>
      <c r="VSN3" s="525"/>
      <c r="VSO3" s="525"/>
      <c r="VSP3" s="525"/>
      <c r="VSQ3" s="525"/>
      <c r="VSR3" s="525"/>
      <c r="VSS3" s="525"/>
      <c r="VST3" s="525"/>
      <c r="VSU3" s="525"/>
      <c r="VSV3" s="525"/>
      <c r="VSW3" s="525"/>
      <c r="VSX3" s="525"/>
      <c r="VSY3" s="525"/>
      <c r="VSZ3" s="525"/>
      <c r="VTA3" s="525"/>
      <c r="VTB3" s="525"/>
      <c r="VTC3" s="525"/>
      <c r="VTD3" s="525"/>
      <c r="VTE3" s="525"/>
      <c r="VTF3" s="525"/>
      <c r="VTG3" s="525"/>
      <c r="VTH3" s="525"/>
      <c r="VTI3" s="525"/>
      <c r="VTJ3" s="525"/>
      <c r="VTK3" s="525"/>
      <c r="VTL3" s="525"/>
      <c r="VTM3" s="525"/>
      <c r="VTN3" s="525"/>
      <c r="VTO3" s="525"/>
      <c r="VTP3" s="525"/>
      <c r="VTQ3" s="525"/>
      <c r="VTR3" s="525"/>
      <c r="VTS3" s="525"/>
      <c r="VTT3" s="525"/>
      <c r="VTU3" s="525"/>
      <c r="VTV3" s="525"/>
      <c r="VTW3" s="525"/>
      <c r="VTX3" s="525"/>
      <c r="VTY3" s="525"/>
      <c r="VTZ3" s="525"/>
      <c r="VUA3" s="525"/>
      <c r="VUB3" s="525"/>
      <c r="VUC3" s="525"/>
      <c r="VUD3" s="525"/>
      <c r="VUE3" s="525"/>
      <c r="VUF3" s="525"/>
      <c r="VUG3" s="525"/>
      <c r="VUH3" s="525"/>
      <c r="VUI3" s="525"/>
      <c r="VUJ3" s="525"/>
      <c r="VUK3" s="525"/>
      <c r="VUL3" s="525"/>
      <c r="VUM3" s="525"/>
      <c r="VUN3" s="525"/>
      <c r="VUO3" s="525"/>
      <c r="VUP3" s="525"/>
      <c r="VUQ3" s="525"/>
      <c r="VUR3" s="525"/>
      <c r="VUS3" s="525"/>
      <c r="VUT3" s="525"/>
      <c r="VUU3" s="525"/>
      <c r="VUV3" s="525"/>
      <c r="VUW3" s="525"/>
      <c r="VUX3" s="525"/>
      <c r="VUY3" s="525"/>
      <c r="VUZ3" s="525"/>
      <c r="VVA3" s="525"/>
      <c r="VVB3" s="525"/>
      <c r="VVC3" s="525"/>
      <c r="VVD3" s="525"/>
      <c r="VVE3" s="525"/>
      <c r="VVF3" s="525"/>
      <c r="VVG3" s="525"/>
      <c r="VVH3" s="525"/>
      <c r="VVI3" s="525"/>
      <c r="VVJ3" s="525"/>
      <c r="VVK3" s="525"/>
      <c r="VVL3" s="525"/>
      <c r="VVM3" s="525"/>
      <c r="VVN3" s="525"/>
      <c r="VVO3" s="525"/>
      <c r="VVP3" s="525"/>
      <c r="VVQ3" s="525"/>
      <c r="VVR3" s="525"/>
      <c r="VVS3" s="525"/>
      <c r="VVT3" s="525"/>
      <c r="VVU3" s="525"/>
      <c r="VVV3" s="525"/>
      <c r="VVW3" s="525"/>
      <c r="VVX3" s="525"/>
      <c r="VVY3" s="525"/>
      <c r="VVZ3" s="525"/>
      <c r="VWA3" s="525"/>
      <c r="VWB3" s="525"/>
      <c r="VWC3" s="525"/>
      <c r="VWD3" s="525"/>
      <c r="VWE3" s="525"/>
      <c r="VWF3" s="525"/>
      <c r="VWG3" s="525"/>
      <c r="VWH3" s="525"/>
      <c r="VWI3" s="525"/>
      <c r="VWJ3" s="525"/>
      <c r="VWK3" s="525"/>
      <c r="VWL3" s="525"/>
      <c r="VWM3" s="525"/>
      <c r="VWN3" s="525"/>
      <c r="VWO3" s="525"/>
      <c r="VWP3" s="525"/>
      <c r="VWQ3" s="525"/>
      <c r="VWR3" s="525"/>
      <c r="VWS3" s="525"/>
      <c r="VWT3" s="525"/>
      <c r="VWU3" s="525"/>
      <c r="VWV3" s="525"/>
      <c r="VWW3" s="525"/>
      <c r="VWX3" s="525"/>
      <c r="VWY3" s="525"/>
      <c r="VWZ3" s="525"/>
      <c r="VXA3" s="525"/>
      <c r="VXB3" s="525"/>
      <c r="VXC3" s="525"/>
      <c r="VXD3" s="525"/>
      <c r="VXE3" s="525"/>
      <c r="VXF3" s="525"/>
      <c r="VXG3" s="525"/>
      <c r="VXH3" s="525"/>
      <c r="VXI3" s="525"/>
      <c r="VXJ3" s="525"/>
      <c r="VXK3" s="525"/>
      <c r="VXL3" s="525"/>
      <c r="VXM3" s="525"/>
      <c r="VXN3" s="525"/>
      <c r="VXO3" s="525"/>
      <c r="VXP3" s="525"/>
      <c r="VXQ3" s="525"/>
      <c r="VXR3" s="525"/>
      <c r="VXS3" s="525"/>
      <c r="VXT3" s="525"/>
      <c r="VXU3" s="525"/>
      <c r="VXV3" s="525"/>
      <c r="VXW3" s="525"/>
      <c r="VXX3" s="525"/>
      <c r="VXY3" s="525"/>
      <c r="VXZ3" s="525"/>
      <c r="VYA3" s="525"/>
      <c r="VYB3" s="525"/>
      <c r="VYC3" s="525"/>
      <c r="VYD3" s="525"/>
      <c r="VYE3" s="525"/>
      <c r="VYF3" s="525"/>
      <c r="VYG3" s="525"/>
      <c r="VYH3" s="525"/>
      <c r="VYI3" s="525"/>
      <c r="VYJ3" s="525"/>
      <c r="VYK3" s="525"/>
      <c r="VYL3" s="525"/>
      <c r="VYM3" s="525"/>
      <c r="VYN3" s="525"/>
      <c r="VYO3" s="525"/>
      <c r="VYP3" s="525"/>
      <c r="VYQ3" s="525"/>
      <c r="VYR3" s="525"/>
      <c r="VYS3" s="525"/>
      <c r="VYT3" s="525"/>
      <c r="VYU3" s="525"/>
      <c r="VYV3" s="525"/>
      <c r="VYW3" s="525"/>
      <c r="VYX3" s="525"/>
      <c r="VYY3" s="525"/>
      <c r="VYZ3" s="525"/>
      <c r="VZA3" s="525"/>
      <c r="VZB3" s="525"/>
      <c r="VZC3" s="525"/>
      <c r="VZD3" s="525"/>
      <c r="VZE3" s="525"/>
      <c r="VZF3" s="525"/>
      <c r="VZG3" s="525"/>
      <c r="VZH3" s="525"/>
      <c r="VZI3" s="525"/>
      <c r="VZJ3" s="525"/>
      <c r="VZK3" s="525"/>
      <c r="VZL3" s="525"/>
      <c r="VZM3" s="525"/>
      <c r="VZN3" s="525"/>
      <c r="VZO3" s="525"/>
      <c r="VZP3" s="525"/>
      <c r="VZQ3" s="525"/>
      <c r="VZR3" s="525"/>
      <c r="VZS3" s="525"/>
      <c r="VZT3" s="525"/>
      <c r="VZU3" s="525"/>
      <c r="VZV3" s="525"/>
      <c r="VZW3" s="525"/>
      <c r="VZX3" s="525"/>
      <c r="VZY3" s="525"/>
      <c r="VZZ3" s="525"/>
      <c r="WAA3" s="525"/>
      <c r="WAB3" s="525"/>
      <c r="WAC3" s="525"/>
      <c r="WAD3" s="525"/>
      <c r="WAE3" s="525"/>
      <c r="WAF3" s="525"/>
      <c r="WAG3" s="525"/>
      <c r="WAH3" s="525"/>
      <c r="WAI3" s="525"/>
      <c r="WAJ3" s="525"/>
      <c r="WAK3" s="525"/>
      <c r="WAL3" s="525"/>
      <c r="WAM3" s="525"/>
      <c r="WAN3" s="525"/>
      <c r="WAO3" s="525"/>
      <c r="WAP3" s="525"/>
      <c r="WAQ3" s="525"/>
      <c r="WAR3" s="525"/>
      <c r="WAS3" s="525"/>
      <c r="WAT3" s="525"/>
      <c r="WAU3" s="525"/>
      <c r="WAV3" s="525"/>
      <c r="WAW3" s="525"/>
      <c r="WAX3" s="525"/>
      <c r="WAY3" s="525"/>
      <c r="WAZ3" s="525"/>
      <c r="WBA3" s="525"/>
      <c r="WBB3" s="525"/>
      <c r="WBC3" s="525"/>
      <c r="WBD3" s="525"/>
      <c r="WBE3" s="525"/>
      <c r="WBF3" s="525"/>
      <c r="WBG3" s="525"/>
      <c r="WBH3" s="525"/>
      <c r="WBI3" s="525"/>
      <c r="WBJ3" s="525"/>
      <c r="WBK3" s="525"/>
      <c r="WBL3" s="525"/>
      <c r="WBM3" s="525"/>
      <c r="WBN3" s="525"/>
      <c r="WBO3" s="525"/>
      <c r="WBP3" s="525"/>
      <c r="WBQ3" s="525"/>
      <c r="WBR3" s="525"/>
      <c r="WBS3" s="525"/>
      <c r="WBT3" s="525"/>
      <c r="WBU3" s="525"/>
      <c r="WBV3" s="525"/>
      <c r="WBW3" s="525"/>
      <c r="WBX3" s="525"/>
      <c r="WBY3" s="525"/>
      <c r="WBZ3" s="525"/>
      <c r="WCA3" s="525"/>
      <c r="WCB3" s="525"/>
      <c r="WCC3" s="525"/>
      <c r="WCD3" s="525"/>
      <c r="WCE3" s="525"/>
      <c r="WCF3" s="525"/>
      <c r="WCG3" s="525"/>
      <c r="WCH3" s="525"/>
      <c r="WCI3" s="525"/>
      <c r="WCJ3" s="525"/>
      <c r="WCK3" s="525"/>
      <c r="WCL3" s="525"/>
      <c r="WCM3" s="525"/>
      <c r="WCN3" s="525"/>
      <c r="WCO3" s="525"/>
      <c r="WCP3" s="525"/>
      <c r="WCQ3" s="525"/>
      <c r="WCR3" s="525"/>
      <c r="WCS3" s="525"/>
      <c r="WCT3" s="525"/>
      <c r="WCU3" s="525"/>
      <c r="WCV3" s="525"/>
      <c r="WCW3" s="525"/>
      <c r="WCX3" s="525"/>
      <c r="WCY3" s="525"/>
      <c r="WCZ3" s="525"/>
      <c r="WDA3" s="525"/>
      <c r="WDB3" s="525"/>
      <c r="WDC3" s="525"/>
      <c r="WDD3" s="525"/>
      <c r="WDE3" s="525"/>
      <c r="WDF3" s="525"/>
      <c r="WDG3" s="525"/>
      <c r="WDH3" s="525"/>
      <c r="WDI3" s="525"/>
      <c r="WDJ3" s="525"/>
      <c r="WDK3" s="525"/>
      <c r="WDL3" s="525"/>
      <c r="WDM3" s="525"/>
      <c r="WDN3" s="525"/>
      <c r="WDO3" s="525"/>
      <c r="WDP3" s="525"/>
      <c r="WDQ3" s="525"/>
      <c r="WDR3" s="525"/>
      <c r="WDS3" s="525"/>
      <c r="WDT3" s="525"/>
      <c r="WDU3" s="525"/>
      <c r="WDV3" s="525"/>
      <c r="WDW3" s="525"/>
      <c r="WDX3" s="525"/>
      <c r="WDY3" s="525"/>
      <c r="WDZ3" s="525"/>
      <c r="WEA3" s="525"/>
      <c r="WEB3" s="525"/>
      <c r="WEC3" s="525"/>
      <c r="WED3" s="525"/>
      <c r="WEE3" s="525"/>
      <c r="WEF3" s="525"/>
      <c r="WEG3" s="525"/>
      <c r="WEH3" s="525"/>
      <c r="WEI3" s="525"/>
      <c r="WEJ3" s="525"/>
      <c r="WEK3" s="525"/>
      <c r="WEL3" s="525"/>
      <c r="WEM3" s="525"/>
      <c r="WEN3" s="525"/>
      <c r="WEO3" s="525"/>
      <c r="WEP3" s="525"/>
      <c r="WEQ3" s="525"/>
      <c r="WER3" s="525"/>
      <c r="WES3" s="525"/>
      <c r="WET3" s="525"/>
      <c r="WEU3" s="525"/>
      <c r="WEV3" s="525"/>
      <c r="WEW3" s="525"/>
      <c r="WEX3" s="525"/>
      <c r="WEY3" s="525"/>
      <c r="WEZ3" s="525"/>
      <c r="WFA3" s="525"/>
      <c r="WFB3" s="525"/>
      <c r="WFC3" s="525"/>
      <c r="WFD3" s="525"/>
      <c r="WFE3" s="525"/>
      <c r="WFF3" s="525"/>
      <c r="WFG3" s="525"/>
      <c r="WFH3" s="525"/>
      <c r="WFI3" s="525"/>
      <c r="WFJ3" s="525"/>
      <c r="WFK3" s="525"/>
      <c r="WFL3" s="525"/>
      <c r="WFM3" s="525"/>
      <c r="WFN3" s="525"/>
      <c r="WFO3" s="525"/>
      <c r="WFP3" s="525"/>
      <c r="WFQ3" s="525"/>
      <c r="WFR3" s="525"/>
      <c r="WFS3" s="525"/>
      <c r="WFT3" s="525"/>
      <c r="WFU3" s="525"/>
      <c r="WFV3" s="525"/>
      <c r="WFW3" s="525"/>
      <c r="WFX3" s="525"/>
      <c r="WFY3" s="525"/>
      <c r="WFZ3" s="525"/>
      <c r="WGA3" s="525"/>
      <c r="WGB3" s="525"/>
      <c r="WGC3" s="525"/>
      <c r="WGD3" s="525"/>
      <c r="WGE3" s="525"/>
      <c r="WGF3" s="525"/>
      <c r="WGG3" s="525"/>
      <c r="WGH3" s="525"/>
      <c r="WGI3" s="525"/>
      <c r="WGJ3" s="525"/>
      <c r="WGK3" s="525"/>
      <c r="WGL3" s="525"/>
      <c r="WGM3" s="525"/>
      <c r="WGN3" s="525"/>
      <c r="WGO3" s="525"/>
      <c r="WGP3" s="525"/>
      <c r="WGQ3" s="525"/>
      <c r="WGR3" s="525"/>
      <c r="WGS3" s="525"/>
      <c r="WGT3" s="525"/>
      <c r="WGU3" s="525"/>
      <c r="WGV3" s="525"/>
      <c r="WGW3" s="525"/>
      <c r="WGX3" s="525"/>
      <c r="WGY3" s="525"/>
      <c r="WGZ3" s="525"/>
      <c r="WHA3" s="525"/>
      <c r="WHB3" s="525"/>
      <c r="WHC3" s="525"/>
      <c r="WHD3" s="525"/>
      <c r="WHE3" s="525"/>
      <c r="WHF3" s="525"/>
      <c r="WHG3" s="525"/>
      <c r="WHH3" s="525"/>
      <c r="WHI3" s="525"/>
      <c r="WHJ3" s="525"/>
      <c r="WHK3" s="525"/>
      <c r="WHL3" s="525"/>
      <c r="WHM3" s="525"/>
      <c r="WHN3" s="525"/>
      <c r="WHO3" s="525"/>
      <c r="WHP3" s="525"/>
      <c r="WHQ3" s="525"/>
      <c r="WHR3" s="525"/>
      <c r="WHS3" s="525"/>
      <c r="WHT3" s="525"/>
      <c r="WHU3" s="525"/>
      <c r="WHV3" s="525"/>
      <c r="WHW3" s="525"/>
      <c r="WHX3" s="525"/>
      <c r="WHY3" s="525"/>
      <c r="WHZ3" s="525"/>
      <c r="WIA3" s="525"/>
      <c r="WIB3" s="525"/>
      <c r="WIC3" s="525"/>
      <c r="WID3" s="525"/>
      <c r="WIE3" s="525"/>
      <c r="WIF3" s="525"/>
      <c r="WIG3" s="525"/>
      <c r="WIH3" s="525"/>
      <c r="WII3" s="525"/>
      <c r="WIJ3" s="525"/>
      <c r="WIK3" s="525"/>
      <c r="WIL3" s="525"/>
      <c r="WIM3" s="525"/>
      <c r="WIN3" s="525"/>
      <c r="WIO3" s="525"/>
      <c r="WIP3" s="525"/>
      <c r="WIQ3" s="525"/>
      <c r="WIR3" s="525"/>
      <c r="WIS3" s="525"/>
      <c r="WIT3" s="525"/>
      <c r="WIU3" s="525"/>
      <c r="WIV3" s="525"/>
      <c r="WIW3" s="525"/>
      <c r="WIX3" s="525"/>
      <c r="WIY3" s="525"/>
      <c r="WIZ3" s="525"/>
      <c r="WJA3" s="525"/>
      <c r="WJB3" s="525"/>
      <c r="WJC3" s="525"/>
      <c r="WJD3" s="525"/>
      <c r="WJE3" s="525"/>
      <c r="WJF3" s="525"/>
      <c r="WJG3" s="525"/>
      <c r="WJH3" s="525"/>
      <c r="WJI3" s="525"/>
      <c r="WJJ3" s="525"/>
      <c r="WJK3" s="525"/>
      <c r="WJL3" s="525"/>
      <c r="WJM3" s="525"/>
      <c r="WJN3" s="525"/>
      <c r="WJO3" s="525"/>
      <c r="WJP3" s="525"/>
      <c r="WJQ3" s="525"/>
      <c r="WJR3" s="525"/>
      <c r="WJS3" s="525"/>
      <c r="WJT3" s="525"/>
      <c r="WJU3" s="525"/>
      <c r="WJV3" s="525"/>
      <c r="WJW3" s="525"/>
      <c r="WJX3" s="525"/>
      <c r="WJY3" s="525"/>
      <c r="WJZ3" s="525"/>
      <c r="WKA3" s="525"/>
      <c r="WKB3" s="525"/>
      <c r="WKC3" s="525"/>
      <c r="WKD3" s="525"/>
      <c r="WKE3" s="525"/>
      <c r="WKF3" s="525"/>
      <c r="WKG3" s="525"/>
      <c r="WKH3" s="525"/>
      <c r="WKI3" s="525"/>
      <c r="WKJ3" s="525"/>
      <c r="WKK3" s="525"/>
      <c r="WKL3" s="525"/>
      <c r="WKM3" s="525"/>
      <c r="WKN3" s="525"/>
      <c r="WKO3" s="525"/>
      <c r="WKP3" s="525"/>
      <c r="WKQ3" s="525"/>
      <c r="WKR3" s="525"/>
      <c r="WKS3" s="525"/>
      <c r="WKT3" s="525"/>
      <c r="WKU3" s="525"/>
      <c r="WKV3" s="525"/>
      <c r="WKW3" s="525"/>
      <c r="WKX3" s="525"/>
      <c r="WKY3" s="525"/>
      <c r="WKZ3" s="525"/>
      <c r="WLA3" s="525"/>
      <c r="WLB3" s="525"/>
      <c r="WLC3" s="525"/>
      <c r="WLD3" s="525"/>
      <c r="WLE3" s="525"/>
      <c r="WLF3" s="525"/>
      <c r="WLG3" s="525"/>
      <c r="WLH3" s="525"/>
      <c r="WLI3" s="525"/>
      <c r="WLJ3" s="525"/>
      <c r="WLK3" s="525"/>
      <c r="WLL3" s="525"/>
      <c r="WLM3" s="525"/>
      <c r="WLN3" s="525"/>
      <c r="WLO3" s="525"/>
      <c r="WLP3" s="525"/>
      <c r="WLQ3" s="525"/>
      <c r="WLR3" s="525"/>
      <c r="WLS3" s="525"/>
      <c r="WLT3" s="525"/>
      <c r="WLU3" s="525"/>
      <c r="WLV3" s="525"/>
      <c r="WLW3" s="525"/>
      <c r="WLX3" s="525"/>
      <c r="WLY3" s="525"/>
      <c r="WLZ3" s="525"/>
      <c r="WMA3" s="525"/>
      <c r="WMB3" s="525"/>
      <c r="WMC3" s="525"/>
      <c r="WMD3" s="525"/>
      <c r="WME3" s="525"/>
      <c r="WMF3" s="525"/>
      <c r="WMG3" s="525"/>
      <c r="WMH3" s="525"/>
      <c r="WMI3" s="525"/>
      <c r="WMJ3" s="525"/>
      <c r="WMK3" s="525"/>
      <c r="WML3" s="525"/>
      <c r="WMM3" s="525"/>
      <c r="WMN3" s="525"/>
      <c r="WMO3" s="525"/>
      <c r="WMP3" s="525"/>
      <c r="WMQ3" s="525"/>
      <c r="WMR3" s="525"/>
      <c r="WMS3" s="525"/>
      <c r="WMT3" s="525"/>
      <c r="WMU3" s="525"/>
      <c r="WMV3" s="525"/>
      <c r="WMW3" s="525"/>
      <c r="WMX3" s="525"/>
      <c r="WMY3" s="525"/>
      <c r="WMZ3" s="525"/>
      <c r="WNA3" s="525"/>
      <c r="WNB3" s="525"/>
      <c r="WNC3" s="525"/>
      <c r="WND3" s="525"/>
      <c r="WNE3" s="525"/>
      <c r="WNF3" s="525"/>
      <c r="WNG3" s="525"/>
      <c r="WNH3" s="525"/>
      <c r="WNI3" s="525"/>
      <c r="WNJ3" s="525"/>
      <c r="WNK3" s="525"/>
      <c r="WNL3" s="525"/>
      <c r="WNM3" s="525"/>
      <c r="WNN3" s="525"/>
      <c r="WNO3" s="525"/>
      <c r="WNP3" s="525"/>
      <c r="WNQ3" s="525"/>
      <c r="WNR3" s="525"/>
      <c r="WNS3" s="525"/>
      <c r="WNT3" s="525"/>
      <c r="WNU3" s="525"/>
      <c r="WNV3" s="525"/>
      <c r="WNW3" s="525"/>
      <c r="WNX3" s="525"/>
      <c r="WNY3" s="525"/>
      <c r="WNZ3" s="525"/>
      <c r="WOA3" s="525"/>
      <c r="WOB3" s="525"/>
      <c r="WOC3" s="525"/>
      <c r="WOD3" s="525"/>
      <c r="WOE3" s="525"/>
      <c r="WOF3" s="525"/>
      <c r="WOG3" s="525"/>
      <c r="WOH3" s="525"/>
      <c r="WOI3" s="525"/>
      <c r="WOJ3" s="525"/>
      <c r="WOK3" s="525"/>
      <c r="WOL3" s="525"/>
      <c r="WOM3" s="525"/>
      <c r="WON3" s="525"/>
      <c r="WOO3" s="525"/>
      <c r="WOP3" s="525"/>
      <c r="WOQ3" s="525"/>
      <c r="WOR3" s="525"/>
      <c r="WOS3" s="525"/>
      <c r="WOT3" s="525"/>
      <c r="WOU3" s="525"/>
      <c r="WOV3" s="525"/>
      <c r="WOW3" s="525"/>
      <c r="WOX3" s="525"/>
      <c r="WOY3" s="525"/>
      <c r="WOZ3" s="525"/>
      <c r="WPA3" s="525"/>
      <c r="WPB3" s="525"/>
      <c r="WPC3" s="525"/>
      <c r="WPD3" s="525"/>
      <c r="WPE3" s="525"/>
      <c r="WPF3" s="525"/>
      <c r="WPG3" s="525"/>
      <c r="WPH3" s="525"/>
      <c r="WPI3" s="525"/>
      <c r="WPJ3" s="525"/>
      <c r="WPK3" s="525"/>
      <c r="WPL3" s="525"/>
      <c r="WPM3" s="525"/>
      <c r="WPN3" s="525"/>
      <c r="WPO3" s="525"/>
      <c r="WPP3" s="525"/>
      <c r="WPQ3" s="525"/>
      <c r="WPR3" s="525"/>
      <c r="WPS3" s="525"/>
      <c r="WPT3" s="525"/>
      <c r="WPU3" s="525"/>
      <c r="WPV3" s="525"/>
      <c r="WPW3" s="525"/>
      <c r="WPX3" s="525"/>
      <c r="WPY3" s="525"/>
      <c r="WPZ3" s="525"/>
      <c r="WQA3" s="525"/>
      <c r="WQB3" s="525"/>
      <c r="WQC3" s="525"/>
      <c r="WQD3" s="525"/>
      <c r="WQE3" s="525"/>
      <c r="WQF3" s="525"/>
      <c r="WQG3" s="525"/>
      <c r="WQH3" s="525"/>
      <c r="WQI3" s="525"/>
      <c r="WQJ3" s="525"/>
      <c r="WQK3" s="525"/>
      <c r="WQL3" s="525"/>
      <c r="WQM3" s="525"/>
      <c r="WQN3" s="525"/>
      <c r="WQO3" s="525"/>
      <c r="WQP3" s="525"/>
      <c r="WQQ3" s="525"/>
      <c r="WQR3" s="525"/>
      <c r="WQS3" s="525"/>
      <c r="WQT3" s="525"/>
      <c r="WQU3" s="525"/>
      <c r="WQV3" s="525"/>
      <c r="WQW3" s="525"/>
      <c r="WQX3" s="525"/>
      <c r="WQY3" s="525"/>
      <c r="WQZ3" s="525"/>
      <c r="WRA3" s="525"/>
      <c r="WRB3" s="525"/>
      <c r="WRC3" s="525"/>
      <c r="WRD3" s="525"/>
      <c r="WRE3" s="525"/>
      <c r="WRF3" s="525"/>
      <c r="WRG3" s="525"/>
      <c r="WRH3" s="525"/>
      <c r="WRI3" s="525"/>
      <c r="WRJ3" s="525"/>
      <c r="WRK3" s="525"/>
      <c r="WRL3" s="525"/>
      <c r="WRM3" s="525"/>
      <c r="WRN3" s="525"/>
      <c r="WRO3" s="525"/>
      <c r="WRP3" s="525"/>
      <c r="WRQ3" s="525"/>
      <c r="WRR3" s="525"/>
      <c r="WRS3" s="525"/>
      <c r="WRT3" s="525"/>
      <c r="WRU3" s="525"/>
      <c r="WRV3" s="525"/>
      <c r="WRW3" s="525"/>
      <c r="WRX3" s="525"/>
      <c r="WRY3" s="525"/>
      <c r="WRZ3" s="525"/>
      <c r="WSA3" s="525"/>
      <c r="WSB3" s="525"/>
      <c r="WSC3" s="525"/>
      <c r="WSD3" s="525"/>
      <c r="WSE3" s="525"/>
      <c r="WSF3" s="525"/>
      <c r="WSG3" s="525"/>
      <c r="WSH3" s="525"/>
      <c r="WSI3" s="525"/>
      <c r="WSJ3" s="525"/>
      <c r="WSK3" s="525"/>
      <c r="WSL3" s="525"/>
      <c r="WSM3" s="525"/>
      <c r="WSN3" s="525"/>
      <c r="WSO3" s="525"/>
      <c r="WSP3" s="525"/>
      <c r="WSQ3" s="525"/>
      <c r="WSR3" s="525"/>
      <c r="WSS3" s="525"/>
      <c r="WST3" s="525"/>
      <c r="WSU3" s="525"/>
      <c r="WSV3" s="525"/>
      <c r="WSW3" s="525"/>
      <c r="WSX3" s="525"/>
      <c r="WSY3" s="525"/>
      <c r="WSZ3" s="525"/>
      <c r="WTA3" s="525"/>
      <c r="WTB3" s="525"/>
      <c r="WTC3" s="525"/>
      <c r="WTD3" s="525"/>
      <c r="WTE3" s="525"/>
      <c r="WTF3" s="525"/>
      <c r="WTG3" s="525"/>
      <c r="WTH3" s="525"/>
      <c r="WTI3" s="525"/>
      <c r="WTJ3" s="525"/>
      <c r="WTK3" s="525"/>
      <c r="WTL3" s="525"/>
      <c r="WTM3" s="525"/>
      <c r="WTN3" s="525"/>
      <c r="WTO3" s="525"/>
      <c r="WTP3" s="525"/>
      <c r="WTQ3" s="525"/>
      <c r="WTR3" s="525"/>
      <c r="WTS3" s="525"/>
      <c r="WTT3" s="525"/>
      <c r="WTU3" s="525"/>
      <c r="WTV3" s="525"/>
      <c r="WTW3" s="525"/>
      <c r="WTX3" s="525"/>
      <c r="WTY3" s="525"/>
      <c r="WTZ3" s="525"/>
      <c r="WUA3" s="525"/>
      <c r="WUB3" s="525"/>
      <c r="WUC3" s="525"/>
      <c r="WUD3" s="525"/>
      <c r="WUE3" s="525"/>
      <c r="WUF3" s="525"/>
      <c r="WUG3" s="525"/>
      <c r="WUH3" s="525"/>
      <c r="WUI3" s="525"/>
      <c r="WUJ3" s="525"/>
      <c r="WUK3" s="525"/>
      <c r="WUL3" s="525"/>
      <c r="WUM3" s="525"/>
      <c r="WUN3" s="525"/>
      <c r="WUO3" s="525"/>
      <c r="WUP3" s="525"/>
      <c r="WUQ3" s="525"/>
      <c r="WUR3" s="525"/>
      <c r="WUS3" s="525"/>
      <c r="WUT3" s="525"/>
      <c r="WUU3" s="525"/>
      <c r="WUV3" s="525"/>
      <c r="WUW3" s="525"/>
      <c r="WUX3" s="525"/>
      <c r="WUY3" s="525"/>
      <c r="WUZ3" s="525"/>
      <c r="WVA3" s="525"/>
      <c r="WVB3" s="525"/>
      <c r="WVC3" s="525"/>
      <c r="WVD3" s="525"/>
      <c r="WVE3" s="525"/>
      <c r="WVF3" s="525"/>
      <c r="WVG3" s="525"/>
      <c r="WVH3" s="525"/>
      <c r="WVI3" s="525"/>
      <c r="WVJ3" s="525"/>
      <c r="WVK3" s="525"/>
      <c r="WVL3" s="525"/>
      <c r="WVM3" s="525"/>
      <c r="WVN3" s="525"/>
      <c r="WVO3" s="525"/>
      <c r="WVP3" s="525"/>
      <c r="WVQ3" s="525"/>
      <c r="WVR3" s="525"/>
      <c r="WVS3" s="525"/>
      <c r="WVT3" s="525"/>
      <c r="WVU3" s="525"/>
      <c r="WVV3" s="525"/>
      <c r="WVW3" s="525"/>
      <c r="WVX3" s="525"/>
      <c r="WVY3" s="525"/>
      <c r="WVZ3" s="525"/>
      <c r="WWA3" s="525"/>
      <c r="WWB3" s="525"/>
      <c r="WWC3" s="525"/>
      <c r="WWD3" s="525"/>
      <c r="WWE3" s="525"/>
      <c r="WWF3" s="525"/>
      <c r="WWG3" s="525"/>
      <c r="WWH3" s="525"/>
      <c r="WWI3" s="525"/>
      <c r="WWJ3" s="525"/>
      <c r="WWK3" s="525"/>
      <c r="WWL3" s="525"/>
      <c r="WWM3" s="525"/>
      <c r="WWN3" s="525"/>
      <c r="WWO3" s="525"/>
      <c r="WWP3" s="525"/>
      <c r="WWQ3" s="525"/>
      <c r="WWR3" s="525"/>
      <c r="WWS3" s="525"/>
      <c r="WWT3" s="525"/>
      <c r="WWU3" s="525"/>
      <c r="WWV3" s="525"/>
      <c r="WWW3" s="525"/>
      <c r="WWX3" s="525"/>
      <c r="WWY3" s="525"/>
      <c r="WWZ3" s="525"/>
      <c r="WXA3" s="525"/>
      <c r="WXB3" s="525"/>
      <c r="WXC3" s="525"/>
      <c r="WXD3" s="525"/>
      <c r="WXE3" s="525"/>
      <c r="WXF3" s="525"/>
      <c r="WXG3" s="525"/>
      <c r="WXH3" s="525"/>
      <c r="WXI3" s="525"/>
      <c r="WXJ3" s="525"/>
      <c r="WXK3" s="525"/>
      <c r="WXL3" s="525"/>
      <c r="WXM3" s="525"/>
      <c r="WXN3" s="525"/>
      <c r="WXO3" s="525"/>
      <c r="WXP3" s="525"/>
      <c r="WXQ3" s="525"/>
      <c r="WXR3" s="525"/>
      <c r="WXS3" s="525"/>
      <c r="WXT3" s="525"/>
      <c r="WXU3" s="525"/>
      <c r="WXV3" s="525"/>
      <c r="WXW3" s="525"/>
      <c r="WXX3" s="525"/>
      <c r="WXY3" s="525"/>
      <c r="WXZ3" s="525"/>
      <c r="WYA3" s="525"/>
      <c r="WYB3" s="525"/>
      <c r="WYC3" s="525"/>
      <c r="WYD3" s="525"/>
      <c r="WYE3" s="525"/>
      <c r="WYF3" s="525"/>
      <c r="WYG3" s="525"/>
      <c r="WYH3" s="525"/>
      <c r="WYI3" s="525"/>
      <c r="WYJ3" s="525"/>
      <c r="WYK3" s="525"/>
      <c r="WYL3" s="525"/>
      <c r="WYM3" s="525"/>
      <c r="WYN3" s="525"/>
      <c r="WYO3" s="525"/>
      <c r="WYP3" s="525"/>
      <c r="WYQ3" s="525"/>
      <c r="WYR3" s="525"/>
      <c r="WYS3" s="525"/>
      <c r="WYT3" s="525"/>
      <c r="WYU3" s="525"/>
      <c r="WYV3" s="525"/>
      <c r="WYW3" s="525"/>
      <c r="WYX3" s="525"/>
      <c r="WYY3" s="525"/>
      <c r="WYZ3" s="525"/>
      <c r="WZA3" s="525"/>
      <c r="WZB3" s="525"/>
      <c r="WZC3" s="525"/>
      <c r="WZD3" s="525"/>
      <c r="WZE3" s="525"/>
      <c r="WZF3" s="525"/>
      <c r="WZG3" s="525"/>
      <c r="WZH3" s="525"/>
      <c r="WZI3" s="525"/>
      <c r="WZJ3" s="525"/>
      <c r="WZK3" s="525"/>
      <c r="WZL3" s="525"/>
      <c r="WZM3" s="525"/>
      <c r="WZN3" s="525"/>
      <c r="WZO3" s="525"/>
      <c r="WZP3" s="525"/>
      <c r="WZQ3" s="525"/>
      <c r="WZR3" s="525"/>
      <c r="WZS3" s="525"/>
      <c r="WZT3" s="525"/>
      <c r="WZU3" s="525"/>
      <c r="WZV3" s="525"/>
      <c r="WZW3" s="525"/>
      <c r="WZX3" s="525"/>
      <c r="WZY3" s="525"/>
      <c r="WZZ3" s="525"/>
      <c r="XAA3" s="525"/>
      <c r="XAB3" s="525"/>
      <c r="XAC3" s="525"/>
      <c r="XAD3" s="525"/>
      <c r="XAE3" s="525"/>
      <c r="XAF3" s="525"/>
      <c r="XAG3" s="525"/>
      <c r="XAH3" s="525"/>
      <c r="XAI3" s="525"/>
      <c r="XAJ3" s="525"/>
      <c r="XAK3" s="525"/>
      <c r="XAL3" s="525"/>
      <c r="XAM3" s="525"/>
      <c r="XAN3" s="525"/>
      <c r="XAO3" s="525"/>
      <c r="XAP3" s="525"/>
      <c r="XAQ3" s="525"/>
      <c r="XAR3" s="525"/>
      <c r="XAS3" s="525"/>
      <c r="XAT3" s="525"/>
      <c r="XAU3" s="525"/>
      <c r="XAV3" s="525"/>
      <c r="XAW3" s="525"/>
      <c r="XAX3" s="525"/>
      <c r="XAY3" s="525"/>
      <c r="XAZ3" s="525"/>
      <c r="XBA3" s="525"/>
      <c r="XBB3" s="525"/>
      <c r="XBC3" s="525"/>
      <c r="XBD3" s="525"/>
      <c r="XBE3" s="525"/>
      <c r="XBF3" s="525"/>
      <c r="XBG3" s="525"/>
      <c r="XBH3" s="525"/>
      <c r="XBI3" s="525"/>
      <c r="XBJ3" s="525"/>
      <c r="XBK3" s="525"/>
      <c r="XBL3" s="525"/>
      <c r="XBM3" s="525"/>
      <c r="XBN3" s="525"/>
      <c r="XBO3" s="525"/>
      <c r="XBP3" s="525"/>
      <c r="XBQ3" s="525"/>
      <c r="XBR3" s="525"/>
      <c r="XBS3" s="525"/>
      <c r="XBT3" s="525"/>
      <c r="XBU3" s="525"/>
      <c r="XBV3" s="525"/>
      <c r="XBW3" s="525"/>
      <c r="XBX3" s="525"/>
      <c r="XBY3" s="525"/>
      <c r="XBZ3" s="525"/>
      <c r="XCA3" s="525"/>
      <c r="XCB3" s="525"/>
      <c r="XCC3" s="525"/>
      <c r="XCD3" s="525"/>
      <c r="XCE3" s="525"/>
      <c r="XCF3" s="525"/>
      <c r="XCG3" s="525"/>
      <c r="XCH3" s="525"/>
      <c r="XCI3" s="525"/>
      <c r="XCJ3" s="525"/>
      <c r="XCK3" s="525"/>
      <c r="XCL3" s="525"/>
      <c r="XCM3" s="525"/>
      <c r="XCN3" s="525"/>
      <c r="XCO3" s="525"/>
      <c r="XCP3" s="525"/>
      <c r="XCQ3" s="525"/>
      <c r="XCR3" s="525"/>
      <c r="XCS3" s="525"/>
      <c r="XCT3" s="525"/>
      <c r="XCU3" s="525"/>
      <c r="XCV3" s="525"/>
      <c r="XCW3" s="525"/>
      <c r="XCX3" s="525"/>
      <c r="XCY3" s="525"/>
      <c r="XCZ3" s="525"/>
      <c r="XDA3" s="525"/>
      <c r="XDB3" s="525"/>
      <c r="XDC3" s="525"/>
      <c r="XDD3" s="525"/>
      <c r="XDE3" s="525"/>
      <c r="XDF3" s="525"/>
      <c r="XDG3" s="525"/>
      <c r="XDH3" s="525"/>
      <c r="XDI3" s="525"/>
      <c r="XDJ3" s="525"/>
      <c r="XDK3" s="525"/>
      <c r="XDL3" s="525"/>
      <c r="XDM3" s="525"/>
      <c r="XDN3" s="525"/>
      <c r="XDO3" s="525"/>
      <c r="XDP3" s="525"/>
      <c r="XDQ3" s="525"/>
      <c r="XDR3" s="525"/>
      <c r="XDS3" s="525"/>
      <c r="XDT3" s="525"/>
      <c r="XDU3" s="525"/>
      <c r="XDV3" s="525"/>
      <c r="XDW3" s="525"/>
      <c r="XDX3" s="525"/>
      <c r="XDY3" s="525"/>
      <c r="XDZ3" s="525"/>
      <c r="XEA3" s="525"/>
      <c r="XEB3" s="525"/>
      <c r="XEC3" s="525"/>
      <c r="XED3" s="525"/>
      <c r="XEE3" s="525"/>
      <c r="XEF3" s="525"/>
      <c r="XEG3" s="525"/>
      <c r="XEH3" s="525"/>
      <c r="XEI3" s="525"/>
      <c r="XEJ3" s="525"/>
      <c r="XEK3" s="525"/>
      <c r="XEL3" s="525"/>
      <c r="XEM3" s="525"/>
      <c r="XEN3" s="525"/>
      <c r="XEO3" s="525"/>
      <c r="XEP3" s="525"/>
      <c r="XEQ3" s="525"/>
      <c r="XER3" s="525"/>
      <c r="XES3" s="525"/>
      <c r="XET3" s="525"/>
      <c r="XEU3" s="525"/>
      <c r="XEV3" s="525"/>
      <c r="XEW3" s="525"/>
      <c r="XEX3" s="525"/>
      <c r="XEY3" s="525"/>
      <c r="XEZ3" s="525"/>
      <c r="XFA3" s="525"/>
      <c r="XFB3" s="525"/>
      <c r="XFC3" s="525"/>
      <c r="XFD3" s="525"/>
    </row>
    <row r="4" spans="1:16384">
      <c r="O4" s="466">
        <v>71846110483</v>
      </c>
    </row>
    <row r="5" spans="1:16384">
      <c r="A5" s="529" t="s">
        <v>524</v>
      </c>
      <c r="B5" s="529" t="s">
        <v>142</v>
      </c>
      <c r="C5" s="469">
        <v>2008</v>
      </c>
      <c r="D5" s="526" t="s">
        <v>552</v>
      </c>
      <c r="E5" s="527"/>
      <c r="F5" s="527"/>
      <c r="G5" s="527"/>
      <c r="H5" s="527"/>
      <c r="I5" s="527"/>
      <c r="J5" s="527"/>
      <c r="K5" s="527"/>
      <c r="L5" s="528"/>
      <c r="O5" s="466">
        <v>123699510385</v>
      </c>
    </row>
    <row r="6" spans="1:16384" ht="11.25" hidden="1" customHeight="1">
      <c r="A6" s="530"/>
      <c r="B6" s="530"/>
      <c r="C6" s="470"/>
      <c r="D6" s="470"/>
      <c r="E6" s="470"/>
      <c r="F6" s="470"/>
      <c r="G6" s="470"/>
      <c r="H6" s="470"/>
      <c r="I6" s="470"/>
      <c r="J6" s="470"/>
      <c r="K6" s="470"/>
      <c r="L6" s="471"/>
    </row>
    <row r="7" spans="1:16384" ht="11.25" hidden="1" customHeight="1">
      <c r="A7" s="530"/>
      <c r="B7" s="530" t="s">
        <v>7</v>
      </c>
      <c r="C7" s="472">
        <f>+'Realisasi Pendapatan'!C6</f>
        <v>576614217128</v>
      </c>
      <c r="D7" s="472"/>
      <c r="E7" s="472">
        <f>+'Realisasi Pendapatan'!D6</f>
        <v>623122779590</v>
      </c>
      <c r="F7" s="472"/>
      <c r="G7" s="472">
        <f>+'Realisasi Pendapatan'!E6</f>
        <v>675659734845</v>
      </c>
      <c r="H7" s="472"/>
      <c r="I7" s="472">
        <f>+'Realisasi Pendapatan'!F6</f>
        <v>823479890034</v>
      </c>
      <c r="J7" s="472"/>
      <c r="K7" s="472">
        <f>+'Realisasi Pendapatan'!G6</f>
        <v>966815573681</v>
      </c>
      <c r="L7" s="471"/>
      <c r="O7" s="466">
        <f>+O5/O4*100</f>
        <v>172.17286997640517</v>
      </c>
    </row>
    <row r="8" spans="1:16384" ht="11.25" hidden="1" customHeight="1">
      <c r="A8" s="530"/>
      <c r="B8" s="530" t="s">
        <v>544</v>
      </c>
      <c r="C8" s="473"/>
      <c r="D8" s="473"/>
      <c r="E8" s="473"/>
      <c r="F8" s="473"/>
      <c r="G8" s="473"/>
      <c r="H8" s="473"/>
      <c r="I8" s="473"/>
      <c r="J8" s="473"/>
      <c r="K8" s="473"/>
      <c r="L8" s="471"/>
    </row>
    <row r="9" spans="1:16384" ht="11.25" hidden="1" customHeight="1">
      <c r="A9" s="530"/>
      <c r="B9" s="530" t="s">
        <v>545</v>
      </c>
      <c r="C9" s="473">
        <f>+'Realisasi Belanja'!C6</f>
        <v>611356971071</v>
      </c>
      <c r="D9" s="473"/>
      <c r="E9" s="473">
        <f>+'Realisasi Belanja'!E6</f>
        <v>606966527358</v>
      </c>
      <c r="F9" s="473"/>
      <c r="G9" s="473">
        <f>+'Realisasi Belanja'!G6</f>
        <v>662203879316</v>
      </c>
      <c r="H9" s="473"/>
      <c r="I9" s="473">
        <f>+'Realisasi Belanja'!I6</f>
        <v>816160548955</v>
      </c>
      <c r="J9" s="473"/>
      <c r="K9" s="473">
        <f>+'Realisasi Belanja'!K6</f>
        <v>956324159986</v>
      </c>
      <c r="L9" s="471"/>
    </row>
    <row r="10" spans="1:16384" ht="11.25" hidden="1" customHeight="1">
      <c r="A10" s="530"/>
      <c r="B10" s="530" t="s">
        <v>546</v>
      </c>
      <c r="C10" s="473">
        <f>+'Realisasi pembiayaan'!C14</f>
        <v>5685504136</v>
      </c>
      <c r="D10" s="473"/>
      <c r="E10" s="473">
        <f>+'Realisasi pembiayaan'!D14</f>
        <v>9238767049</v>
      </c>
      <c r="F10" s="473"/>
      <c r="G10" s="473">
        <f>+'Realisasi pembiayaan'!E14</f>
        <v>7427192600</v>
      </c>
      <c r="H10" s="473"/>
      <c r="I10" s="473">
        <f>+'Realisasi pembiayaan'!F14</f>
        <v>9647659020</v>
      </c>
      <c r="J10" s="473"/>
      <c r="K10" s="473">
        <f>+'Realisasi pembiayaan'!G14</f>
        <v>14963113944</v>
      </c>
      <c r="L10" s="471"/>
    </row>
    <row r="11" spans="1:16384" ht="11.25" hidden="1" customHeight="1">
      <c r="A11" s="530"/>
      <c r="B11" s="530"/>
      <c r="C11" s="473"/>
      <c r="D11" s="473"/>
      <c r="E11" s="473"/>
      <c r="F11" s="473"/>
      <c r="G11" s="473"/>
      <c r="H11" s="473"/>
      <c r="I11" s="473"/>
      <c r="J11" s="473"/>
      <c r="K11" s="473"/>
      <c r="L11" s="471"/>
    </row>
    <row r="12" spans="1:16384" ht="11.25" hidden="1" customHeight="1">
      <c r="A12" s="530"/>
      <c r="B12" s="530" t="s">
        <v>547</v>
      </c>
      <c r="C12" s="473">
        <f>+C7-C9-C10</f>
        <v>-40428258079</v>
      </c>
      <c r="D12" s="473"/>
      <c r="E12" s="473">
        <f>+E7-E9-E10</f>
        <v>6917485183</v>
      </c>
      <c r="F12" s="473"/>
      <c r="G12" s="473">
        <f>+G7-G9-G10</f>
        <v>6028662929</v>
      </c>
      <c r="H12" s="473"/>
      <c r="I12" s="473">
        <f>+I7-I9-I10</f>
        <v>-2328317941</v>
      </c>
      <c r="J12" s="473"/>
      <c r="K12" s="473">
        <f>+K7-K9-K10</f>
        <v>-4471700249</v>
      </c>
      <c r="L12" s="471"/>
    </row>
    <row r="13" spans="1:16384" ht="11.25" hidden="1" customHeight="1">
      <c r="A13" s="530"/>
      <c r="B13" s="530" t="s">
        <v>549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1"/>
    </row>
    <row r="14" spans="1:16384" ht="11.25" hidden="1" customHeight="1">
      <c r="A14" s="530"/>
      <c r="B14" s="530"/>
      <c r="C14" s="473"/>
      <c r="D14" s="473"/>
      <c r="E14" s="473"/>
      <c r="F14" s="473"/>
      <c r="G14" s="473"/>
      <c r="H14" s="473"/>
      <c r="I14" s="473"/>
      <c r="J14" s="473"/>
      <c r="K14" s="473"/>
      <c r="L14" s="471"/>
    </row>
    <row r="15" spans="1:16384">
      <c r="A15" s="531"/>
      <c r="B15" s="531"/>
      <c r="C15" s="473"/>
      <c r="D15" s="469">
        <v>2008</v>
      </c>
      <c r="E15" s="469">
        <v>2009</v>
      </c>
      <c r="F15" s="469">
        <v>2009</v>
      </c>
      <c r="G15" s="469">
        <v>2010</v>
      </c>
      <c r="H15" s="469">
        <v>2010</v>
      </c>
      <c r="I15" s="469">
        <v>2011</v>
      </c>
      <c r="J15" s="469">
        <v>2011</v>
      </c>
      <c r="K15" s="469">
        <v>2012</v>
      </c>
      <c r="L15" s="469">
        <v>2012</v>
      </c>
    </row>
    <row r="16" spans="1:16384">
      <c r="A16" s="459">
        <v>1</v>
      </c>
      <c r="B16" s="458" t="s">
        <v>10</v>
      </c>
      <c r="C16" s="460">
        <f>+'Realisasi pembiayaan'!C8</f>
        <v>56880649463</v>
      </c>
      <c r="D16" s="467">
        <f>+C16/-C$12</f>
        <v>1.406952764372156</v>
      </c>
      <c r="E16" s="460">
        <f>+'Realisasi pembiayaan'!D8</f>
        <v>30233284008</v>
      </c>
      <c r="F16" s="467">
        <f>+E16/E$12</f>
        <v>4.3705599951698515</v>
      </c>
      <c r="G16" s="460">
        <f>+'Realisasi pembiayaan'!E8</f>
        <v>39779853641</v>
      </c>
      <c r="H16" s="467">
        <f>+G16/G$12</f>
        <v>6.5984537715062554</v>
      </c>
      <c r="I16" s="460">
        <f>+'Realisasi pembiayaan'!F8</f>
        <v>46221398450</v>
      </c>
      <c r="J16" s="467">
        <f>+I16/-I$12</f>
        <v>19.85184138131417</v>
      </c>
      <c r="K16" s="460">
        <f>+'Realisasi pembiayaan'!G8</f>
        <v>44156820949</v>
      </c>
      <c r="L16" s="468">
        <f>+K16/-K$12</f>
        <v>9.8747273945463423</v>
      </c>
    </row>
    <row r="17" spans="1:12">
      <c r="A17" s="459">
        <v>2</v>
      </c>
      <c r="B17" s="458" t="s">
        <v>11</v>
      </c>
      <c r="C17" s="460">
        <f>+'Realisasi pembiayaan'!C9</f>
        <v>10426478900</v>
      </c>
      <c r="D17" s="467">
        <f t="shared" ref="D17:D20" si="0">+C17/-C$12</f>
        <v>0.25790077028858971</v>
      </c>
      <c r="E17" s="460">
        <f>+'Realisasi pembiayaan'!D9</f>
        <v>0</v>
      </c>
      <c r="F17" s="467">
        <f t="shared" ref="F17:F20" si="1">+E17/E$12</f>
        <v>0</v>
      </c>
      <c r="G17" s="460">
        <f>+'Realisasi pembiayaan'!E9</f>
        <v>0</v>
      </c>
      <c r="H17" s="467">
        <f t="shared" ref="H17:H20" si="2">+G17/G$12</f>
        <v>0</v>
      </c>
      <c r="I17" s="460">
        <f>+'Realisasi pembiayaan'!F9</f>
        <v>0</v>
      </c>
      <c r="J17" s="467">
        <f t="shared" ref="J17:J20" si="3">+I17/-I$12</f>
        <v>0</v>
      </c>
      <c r="K17" s="460"/>
      <c r="L17" s="468">
        <f t="shared" ref="L17:L20" si="4">+K17/-K$12</f>
        <v>0</v>
      </c>
    </row>
    <row r="18" spans="1:12">
      <c r="A18" s="459">
        <v>3</v>
      </c>
      <c r="B18" s="458" t="s">
        <v>12</v>
      </c>
      <c r="C18" s="460">
        <f>+'Realisasi pembiayaan'!C10</f>
        <v>0</v>
      </c>
      <c r="D18" s="467">
        <f t="shared" si="0"/>
        <v>0</v>
      </c>
      <c r="E18" s="460">
        <f>+'Realisasi pembiayaan'!D10</f>
        <v>0</v>
      </c>
      <c r="F18" s="467">
        <f t="shared" si="1"/>
        <v>0</v>
      </c>
      <c r="G18" s="460">
        <f>+'Realisasi pembiayaan'!E10</f>
        <v>0</v>
      </c>
      <c r="H18" s="467">
        <f t="shared" si="2"/>
        <v>0</v>
      </c>
      <c r="I18" s="460">
        <f>+'Realisasi pembiayaan'!F10</f>
        <v>0</v>
      </c>
      <c r="J18" s="467">
        <f t="shared" si="3"/>
        <v>0</v>
      </c>
      <c r="K18" s="460"/>
      <c r="L18" s="468">
        <f t="shared" si="4"/>
        <v>0</v>
      </c>
    </row>
    <row r="19" spans="1:12">
      <c r="A19" s="459">
        <v>4</v>
      </c>
      <c r="B19" s="458" t="s">
        <v>504</v>
      </c>
      <c r="C19" s="460">
        <f>+'Realisasi pembiayaan'!C11</f>
        <v>3354413724</v>
      </c>
      <c r="D19" s="467">
        <f t="shared" si="0"/>
        <v>8.2972007288694249E-2</v>
      </c>
      <c r="E19" s="460">
        <f>+'Realisasi pembiayaan'!D11</f>
        <v>2629084460</v>
      </c>
      <c r="F19" s="467">
        <f t="shared" si="1"/>
        <v>0.38006362000761224</v>
      </c>
      <c r="G19" s="460">
        <f>+'Realisasi pembiayaan'!E11</f>
        <v>412881880</v>
      </c>
      <c r="H19" s="467">
        <f t="shared" si="2"/>
        <v>6.8486476166032137E-2</v>
      </c>
      <c r="I19" s="460">
        <f>+'Realisasi pembiayaan'!F11</f>
        <v>263740440</v>
      </c>
      <c r="J19" s="467">
        <f t="shared" si="3"/>
        <v>0.11327509673645554</v>
      </c>
      <c r="K19" s="460">
        <f>+'Realisasi pembiayaan'!G11</f>
        <v>2091426555</v>
      </c>
      <c r="L19" s="468">
        <f t="shared" si="4"/>
        <v>0.46770276148713297</v>
      </c>
    </row>
    <row r="20" spans="1:12">
      <c r="A20" s="459">
        <v>5</v>
      </c>
      <c r="B20" s="458" t="s">
        <v>13</v>
      </c>
      <c r="C20" s="460">
        <f>+'Realisasi pembiayaan'!C12</f>
        <v>0</v>
      </c>
      <c r="D20" s="467">
        <f t="shared" si="0"/>
        <v>0</v>
      </c>
      <c r="E20" s="460">
        <f>+'Realisasi pembiayaan'!D12</f>
        <v>0</v>
      </c>
      <c r="F20" s="467">
        <f t="shared" si="1"/>
        <v>0</v>
      </c>
      <c r="G20" s="460">
        <f>+'Realisasi pembiayaan'!E12</f>
        <v>0</v>
      </c>
      <c r="H20" s="467">
        <f t="shared" si="2"/>
        <v>0</v>
      </c>
      <c r="I20" s="460">
        <f>+'Realisasi pembiayaan'!F12</f>
        <v>0</v>
      </c>
      <c r="J20" s="467">
        <f t="shared" si="3"/>
        <v>0</v>
      </c>
      <c r="K20" s="460"/>
      <c r="L20" s="468">
        <f t="shared" si="4"/>
        <v>0</v>
      </c>
    </row>
    <row r="21" spans="1:12" hidden="1">
      <c r="A21" s="459"/>
      <c r="B21" s="458"/>
      <c r="C21" s="460"/>
      <c r="D21" s="460"/>
      <c r="E21" s="460"/>
      <c r="F21" s="460"/>
      <c r="G21" s="460"/>
      <c r="H21" s="460"/>
      <c r="I21" s="460"/>
      <c r="J21" s="460"/>
      <c r="K21" s="460"/>
      <c r="L21" s="458"/>
    </row>
    <row r="22" spans="1:12" hidden="1">
      <c r="A22" s="459" t="s">
        <v>517</v>
      </c>
      <c r="B22" s="458" t="s">
        <v>548</v>
      </c>
      <c r="C22" s="460">
        <f>SUM(C16:C20)</f>
        <v>70661542087</v>
      </c>
      <c r="D22" s="460"/>
      <c r="E22" s="460">
        <f t="shared" ref="E22:K22" si="5">SUM(E16:E20)</f>
        <v>32862368468</v>
      </c>
      <c r="F22" s="460"/>
      <c r="G22" s="460">
        <f t="shared" si="5"/>
        <v>40192735521</v>
      </c>
      <c r="H22" s="460"/>
      <c r="I22" s="460">
        <f t="shared" si="5"/>
        <v>46485138890</v>
      </c>
      <c r="J22" s="460"/>
      <c r="K22" s="460">
        <f t="shared" si="5"/>
        <v>46248247504</v>
      </c>
      <c r="L22" s="458"/>
    </row>
    <row r="23" spans="1:12" hidden="1">
      <c r="A23" s="459"/>
      <c r="B23" s="458"/>
      <c r="C23" s="460"/>
      <c r="D23" s="460"/>
      <c r="E23" s="460"/>
      <c r="F23" s="460"/>
      <c r="G23" s="460"/>
      <c r="H23" s="460"/>
      <c r="I23" s="460"/>
      <c r="J23" s="460"/>
      <c r="K23" s="460"/>
      <c r="L23" s="458"/>
    </row>
    <row r="24" spans="1:12" hidden="1">
      <c r="A24" s="459" t="s">
        <v>550</v>
      </c>
      <c r="B24" s="458" t="s">
        <v>551</v>
      </c>
      <c r="C24" s="460">
        <f>+C12+C22</f>
        <v>30233284008</v>
      </c>
      <c r="D24" s="460"/>
      <c r="E24" s="460">
        <f t="shared" ref="E24:K24" si="6">+E12+E22</f>
        <v>39779853651</v>
      </c>
      <c r="F24" s="460"/>
      <c r="G24" s="460">
        <f t="shared" si="6"/>
        <v>46221398450</v>
      </c>
      <c r="H24" s="460"/>
      <c r="I24" s="460">
        <f t="shared" si="6"/>
        <v>44156820949</v>
      </c>
      <c r="J24" s="460"/>
      <c r="K24" s="460">
        <f t="shared" si="6"/>
        <v>41776547255</v>
      </c>
      <c r="L24" s="458"/>
    </row>
  </sheetData>
  <mergeCells count="2736">
    <mergeCell ref="CG2:CR2"/>
    <mergeCell ref="CS2:DD2"/>
    <mergeCell ref="DE2:DP2"/>
    <mergeCell ref="DQ2:EB2"/>
    <mergeCell ref="EC2:EN2"/>
    <mergeCell ref="EO2:EZ2"/>
    <mergeCell ref="M2:X2"/>
    <mergeCell ref="Y2:AJ2"/>
    <mergeCell ref="AK2:AV2"/>
    <mergeCell ref="AW2:BH2"/>
    <mergeCell ref="BI2:BT2"/>
    <mergeCell ref="BU2:CF2"/>
    <mergeCell ref="D5:L5"/>
    <mergeCell ref="A5:A15"/>
    <mergeCell ref="B5:B15"/>
    <mergeCell ref="A1:L1"/>
    <mergeCell ref="A2:L2"/>
    <mergeCell ref="CG3:CR3"/>
    <mergeCell ref="CS3:DD3"/>
    <mergeCell ref="DE3:DP3"/>
    <mergeCell ref="DQ3:EB3"/>
    <mergeCell ref="EC3:EN3"/>
    <mergeCell ref="EO3:EZ3"/>
    <mergeCell ref="KO2:KZ2"/>
    <mergeCell ref="LA2:LL2"/>
    <mergeCell ref="LM2:LX2"/>
    <mergeCell ref="LY2:MJ2"/>
    <mergeCell ref="MK2:MV2"/>
    <mergeCell ref="MW2:NH2"/>
    <mergeCell ref="HU2:IF2"/>
    <mergeCell ref="IG2:IR2"/>
    <mergeCell ref="IS2:JD2"/>
    <mergeCell ref="JE2:JP2"/>
    <mergeCell ref="JQ2:KB2"/>
    <mergeCell ref="KC2:KN2"/>
    <mergeCell ref="FA2:FL2"/>
    <mergeCell ref="FM2:FX2"/>
    <mergeCell ref="FY2:GJ2"/>
    <mergeCell ref="GK2:GV2"/>
    <mergeCell ref="GW2:HH2"/>
    <mergeCell ref="HI2:HT2"/>
    <mergeCell ref="SW2:TH2"/>
    <mergeCell ref="TI2:TT2"/>
    <mergeCell ref="TU2:UF2"/>
    <mergeCell ref="UG2:UR2"/>
    <mergeCell ref="US2:VD2"/>
    <mergeCell ref="VE2:VP2"/>
    <mergeCell ref="QC2:QN2"/>
    <mergeCell ref="QO2:QZ2"/>
    <mergeCell ref="RA2:RL2"/>
    <mergeCell ref="RM2:RX2"/>
    <mergeCell ref="RY2:SJ2"/>
    <mergeCell ref="SK2:SV2"/>
    <mergeCell ref="NI2:NT2"/>
    <mergeCell ref="NU2:OF2"/>
    <mergeCell ref="OG2:OR2"/>
    <mergeCell ref="OS2:PD2"/>
    <mergeCell ref="PE2:PP2"/>
    <mergeCell ref="PQ2:QB2"/>
    <mergeCell ref="ABE2:ABP2"/>
    <mergeCell ref="ABQ2:ACB2"/>
    <mergeCell ref="ACC2:ACN2"/>
    <mergeCell ref="ACO2:ACZ2"/>
    <mergeCell ref="ADA2:ADL2"/>
    <mergeCell ref="ADM2:ADX2"/>
    <mergeCell ref="YK2:YV2"/>
    <mergeCell ref="YW2:ZH2"/>
    <mergeCell ref="ZI2:ZT2"/>
    <mergeCell ref="ZU2:AAF2"/>
    <mergeCell ref="AAG2:AAR2"/>
    <mergeCell ref="AAS2:ABD2"/>
    <mergeCell ref="VQ2:WB2"/>
    <mergeCell ref="WC2:WN2"/>
    <mergeCell ref="WO2:WZ2"/>
    <mergeCell ref="XA2:XL2"/>
    <mergeCell ref="XM2:XX2"/>
    <mergeCell ref="XY2:YJ2"/>
    <mergeCell ref="AJM2:AJX2"/>
    <mergeCell ref="AJY2:AKJ2"/>
    <mergeCell ref="AKK2:AKV2"/>
    <mergeCell ref="AKW2:ALH2"/>
    <mergeCell ref="ALI2:ALT2"/>
    <mergeCell ref="ALU2:AMF2"/>
    <mergeCell ref="AGS2:AHD2"/>
    <mergeCell ref="AHE2:AHP2"/>
    <mergeCell ref="AHQ2:AIB2"/>
    <mergeCell ref="AIC2:AIN2"/>
    <mergeCell ref="AIO2:AIZ2"/>
    <mergeCell ref="AJA2:AJL2"/>
    <mergeCell ref="ADY2:AEJ2"/>
    <mergeCell ref="AEK2:AEV2"/>
    <mergeCell ref="AEW2:AFH2"/>
    <mergeCell ref="AFI2:AFT2"/>
    <mergeCell ref="AFU2:AGF2"/>
    <mergeCell ref="AGG2:AGR2"/>
    <mergeCell ref="ARU2:ASF2"/>
    <mergeCell ref="ASG2:ASR2"/>
    <mergeCell ref="ASS2:ATD2"/>
    <mergeCell ref="ATE2:ATP2"/>
    <mergeCell ref="ATQ2:AUB2"/>
    <mergeCell ref="AUC2:AUN2"/>
    <mergeCell ref="APA2:APL2"/>
    <mergeCell ref="APM2:APX2"/>
    <mergeCell ref="APY2:AQJ2"/>
    <mergeCell ref="AQK2:AQV2"/>
    <mergeCell ref="AQW2:ARH2"/>
    <mergeCell ref="ARI2:ART2"/>
    <mergeCell ref="AMG2:AMR2"/>
    <mergeCell ref="AMS2:AND2"/>
    <mergeCell ref="ANE2:ANP2"/>
    <mergeCell ref="ANQ2:AOB2"/>
    <mergeCell ref="AOC2:AON2"/>
    <mergeCell ref="AOO2:AOZ2"/>
    <mergeCell ref="BAC2:BAN2"/>
    <mergeCell ref="BAO2:BAZ2"/>
    <mergeCell ref="BBA2:BBL2"/>
    <mergeCell ref="BBM2:BBX2"/>
    <mergeCell ref="BBY2:BCJ2"/>
    <mergeCell ref="BCK2:BCV2"/>
    <mergeCell ref="AXI2:AXT2"/>
    <mergeCell ref="AXU2:AYF2"/>
    <mergeCell ref="AYG2:AYR2"/>
    <mergeCell ref="AYS2:AZD2"/>
    <mergeCell ref="AZE2:AZP2"/>
    <mergeCell ref="AZQ2:BAB2"/>
    <mergeCell ref="AUO2:AUZ2"/>
    <mergeCell ref="AVA2:AVL2"/>
    <mergeCell ref="AVM2:AVX2"/>
    <mergeCell ref="AVY2:AWJ2"/>
    <mergeCell ref="AWK2:AWV2"/>
    <mergeCell ref="AWW2:AXH2"/>
    <mergeCell ref="BIK2:BIV2"/>
    <mergeCell ref="BIW2:BJH2"/>
    <mergeCell ref="BJI2:BJT2"/>
    <mergeCell ref="BJU2:BKF2"/>
    <mergeCell ref="BKG2:BKR2"/>
    <mergeCell ref="BKS2:BLD2"/>
    <mergeCell ref="BFQ2:BGB2"/>
    <mergeCell ref="BGC2:BGN2"/>
    <mergeCell ref="BGO2:BGZ2"/>
    <mergeCell ref="BHA2:BHL2"/>
    <mergeCell ref="BHM2:BHX2"/>
    <mergeCell ref="BHY2:BIJ2"/>
    <mergeCell ref="BCW2:BDH2"/>
    <mergeCell ref="BDI2:BDT2"/>
    <mergeCell ref="BDU2:BEF2"/>
    <mergeCell ref="BEG2:BER2"/>
    <mergeCell ref="BES2:BFD2"/>
    <mergeCell ref="BFE2:BFP2"/>
    <mergeCell ref="BQS2:BRD2"/>
    <mergeCell ref="BRE2:BRP2"/>
    <mergeCell ref="BRQ2:BSB2"/>
    <mergeCell ref="BSC2:BSN2"/>
    <mergeCell ref="BSO2:BSZ2"/>
    <mergeCell ref="BTA2:BTL2"/>
    <mergeCell ref="BNY2:BOJ2"/>
    <mergeCell ref="BOK2:BOV2"/>
    <mergeCell ref="BOW2:BPH2"/>
    <mergeCell ref="BPI2:BPT2"/>
    <mergeCell ref="BPU2:BQF2"/>
    <mergeCell ref="BQG2:BQR2"/>
    <mergeCell ref="BLE2:BLP2"/>
    <mergeCell ref="BLQ2:BMB2"/>
    <mergeCell ref="BMC2:BMN2"/>
    <mergeCell ref="BMO2:BMZ2"/>
    <mergeCell ref="BNA2:BNL2"/>
    <mergeCell ref="BNM2:BNX2"/>
    <mergeCell ref="BZA2:BZL2"/>
    <mergeCell ref="BZM2:BZX2"/>
    <mergeCell ref="BZY2:CAJ2"/>
    <mergeCell ref="CAK2:CAV2"/>
    <mergeCell ref="CAW2:CBH2"/>
    <mergeCell ref="CBI2:CBT2"/>
    <mergeCell ref="BWG2:BWR2"/>
    <mergeCell ref="BWS2:BXD2"/>
    <mergeCell ref="BXE2:BXP2"/>
    <mergeCell ref="BXQ2:BYB2"/>
    <mergeCell ref="BYC2:BYN2"/>
    <mergeCell ref="BYO2:BYZ2"/>
    <mergeCell ref="BTM2:BTX2"/>
    <mergeCell ref="BTY2:BUJ2"/>
    <mergeCell ref="BUK2:BUV2"/>
    <mergeCell ref="BUW2:BVH2"/>
    <mergeCell ref="BVI2:BVT2"/>
    <mergeCell ref="BVU2:BWF2"/>
    <mergeCell ref="CHI2:CHT2"/>
    <mergeCell ref="CHU2:CIF2"/>
    <mergeCell ref="CIG2:CIR2"/>
    <mergeCell ref="CIS2:CJD2"/>
    <mergeCell ref="CJE2:CJP2"/>
    <mergeCell ref="CJQ2:CKB2"/>
    <mergeCell ref="CEO2:CEZ2"/>
    <mergeCell ref="CFA2:CFL2"/>
    <mergeCell ref="CFM2:CFX2"/>
    <mergeCell ref="CFY2:CGJ2"/>
    <mergeCell ref="CGK2:CGV2"/>
    <mergeCell ref="CGW2:CHH2"/>
    <mergeCell ref="CBU2:CCF2"/>
    <mergeCell ref="CCG2:CCR2"/>
    <mergeCell ref="CCS2:CDD2"/>
    <mergeCell ref="CDE2:CDP2"/>
    <mergeCell ref="CDQ2:CEB2"/>
    <mergeCell ref="CEC2:CEN2"/>
    <mergeCell ref="CPQ2:CQB2"/>
    <mergeCell ref="CQC2:CQN2"/>
    <mergeCell ref="CQO2:CQZ2"/>
    <mergeCell ref="CRA2:CRL2"/>
    <mergeCell ref="CRM2:CRX2"/>
    <mergeCell ref="CRY2:CSJ2"/>
    <mergeCell ref="CMW2:CNH2"/>
    <mergeCell ref="CNI2:CNT2"/>
    <mergeCell ref="CNU2:COF2"/>
    <mergeCell ref="COG2:COR2"/>
    <mergeCell ref="COS2:CPD2"/>
    <mergeCell ref="CPE2:CPP2"/>
    <mergeCell ref="CKC2:CKN2"/>
    <mergeCell ref="CKO2:CKZ2"/>
    <mergeCell ref="CLA2:CLL2"/>
    <mergeCell ref="CLM2:CLX2"/>
    <mergeCell ref="CLY2:CMJ2"/>
    <mergeCell ref="CMK2:CMV2"/>
    <mergeCell ref="CXY2:CYJ2"/>
    <mergeCell ref="CYK2:CYV2"/>
    <mergeCell ref="CYW2:CZH2"/>
    <mergeCell ref="CZI2:CZT2"/>
    <mergeCell ref="CZU2:DAF2"/>
    <mergeCell ref="DAG2:DAR2"/>
    <mergeCell ref="CVE2:CVP2"/>
    <mergeCell ref="CVQ2:CWB2"/>
    <mergeCell ref="CWC2:CWN2"/>
    <mergeCell ref="CWO2:CWZ2"/>
    <mergeCell ref="CXA2:CXL2"/>
    <mergeCell ref="CXM2:CXX2"/>
    <mergeCell ref="CSK2:CSV2"/>
    <mergeCell ref="CSW2:CTH2"/>
    <mergeCell ref="CTI2:CTT2"/>
    <mergeCell ref="CTU2:CUF2"/>
    <mergeCell ref="CUG2:CUR2"/>
    <mergeCell ref="CUS2:CVD2"/>
    <mergeCell ref="DGG2:DGR2"/>
    <mergeCell ref="DGS2:DHD2"/>
    <mergeCell ref="DHE2:DHP2"/>
    <mergeCell ref="DHQ2:DIB2"/>
    <mergeCell ref="DIC2:DIN2"/>
    <mergeCell ref="DIO2:DIZ2"/>
    <mergeCell ref="DDM2:DDX2"/>
    <mergeCell ref="DDY2:DEJ2"/>
    <mergeCell ref="DEK2:DEV2"/>
    <mergeCell ref="DEW2:DFH2"/>
    <mergeCell ref="DFI2:DFT2"/>
    <mergeCell ref="DFU2:DGF2"/>
    <mergeCell ref="DAS2:DBD2"/>
    <mergeCell ref="DBE2:DBP2"/>
    <mergeCell ref="DBQ2:DCB2"/>
    <mergeCell ref="DCC2:DCN2"/>
    <mergeCell ref="DCO2:DCZ2"/>
    <mergeCell ref="DDA2:DDL2"/>
    <mergeCell ref="DOO2:DOZ2"/>
    <mergeCell ref="DPA2:DPL2"/>
    <mergeCell ref="DPM2:DPX2"/>
    <mergeCell ref="DPY2:DQJ2"/>
    <mergeCell ref="DQK2:DQV2"/>
    <mergeCell ref="DQW2:DRH2"/>
    <mergeCell ref="DLU2:DMF2"/>
    <mergeCell ref="DMG2:DMR2"/>
    <mergeCell ref="DMS2:DND2"/>
    <mergeCell ref="DNE2:DNP2"/>
    <mergeCell ref="DNQ2:DOB2"/>
    <mergeCell ref="DOC2:DON2"/>
    <mergeCell ref="DJA2:DJL2"/>
    <mergeCell ref="DJM2:DJX2"/>
    <mergeCell ref="DJY2:DKJ2"/>
    <mergeCell ref="DKK2:DKV2"/>
    <mergeCell ref="DKW2:DLH2"/>
    <mergeCell ref="DLI2:DLT2"/>
    <mergeCell ref="DWW2:DXH2"/>
    <mergeCell ref="DXI2:DXT2"/>
    <mergeCell ref="DXU2:DYF2"/>
    <mergeCell ref="DYG2:DYR2"/>
    <mergeCell ref="DYS2:DZD2"/>
    <mergeCell ref="DZE2:DZP2"/>
    <mergeCell ref="DUC2:DUN2"/>
    <mergeCell ref="DUO2:DUZ2"/>
    <mergeCell ref="DVA2:DVL2"/>
    <mergeCell ref="DVM2:DVX2"/>
    <mergeCell ref="DVY2:DWJ2"/>
    <mergeCell ref="DWK2:DWV2"/>
    <mergeCell ref="DRI2:DRT2"/>
    <mergeCell ref="DRU2:DSF2"/>
    <mergeCell ref="DSG2:DSR2"/>
    <mergeCell ref="DSS2:DTD2"/>
    <mergeCell ref="DTE2:DTP2"/>
    <mergeCell ref="DTQ2:DUB2"/>
    <mergeCell ref="EFE2:EFP2"/>
    <mergeCell ref="EFQ2:EGB2"/>
    <mergeCell ref="EGC2:EGN2"/>
    <mergeCell ref="EGO2:EGZ2"/>
    <mergeCell ref="EHA2:EHL2"/>
    <mergeCell ref="EHM2:EHX2"/>
    <mergeCell ref="ECK2:ECV2"/>
    <mergeCell ref="ECW2:EDH2"/>
    <mergeCell ref="EDI2:EDT2"/>
    <mergeCell ref="EDU2:EEF2"/>
    <mergeCell ref="EEG2:EER2"/>
    <mergeCell ref="EES2:EFD2"/>
    <mergeCell ref="DZQ2:EAB2"/>
    <mergeCell ref="EAC2:EAN2"/>
    <mergeCell ref="EAO2:EAZ2"/>
    <mergeCell ref="EBA2:EBL2"/>
    <mergeCell ref="EBM2:EBX2"/>
    <mergeCell ref="EBY2:ECJ2"/>
    <mergeCell ref="ENM2:ENX2"/>
    <mergeCell ref="ENY2:EOJ2"/>
    <mergeCell ref="EOK2:EOV2"/>
    <mergeCell ref="EOW2:EPH2"/>
    <mergeCell ref="EPI2:EPT2"/>
    <mergeCell ref="EPU2:EQF2"/>
    <mergeCell ref="EKS2:ELD2"/>
    <mergeCell ref="ELE2:ELP2"/>
    <mergeCell ref="ELQ2:EMB2"/>
    <mergeCell ref="EMC2:EMN2"/>
    <mergeCell ref="EMO2:EMZ2"/>
    <mergeCell ref="ENA2:ENL2"/>
    <mergeCell ref="EHY2:EIJ2"/>
    <mergeCell ref="EIK2:EIV2"/>
    <mergeCell ref="EIW2:EJH2"/>
    <mergeCell ref="EJI2:EJT2"/>
    <mergeCell ref="EJU2:EKF2"/>
    <mergeCell ref="EKG2:EKR2"/>
    <mergeCell ref="EVU2:EWF2"/>
    <mergeCell ref="EWG2:EWR2"/>
    <mergeCell ref="EWS2:EXD2"/>
    <mergeCell ref="EXE2:EXP2"/>
    <mergeCell ref="EXQ2:EYB2"/>
    <mergeCell ref="EYC2:EYN2"/>
    <mergeCell ref="ETA2:ETL2"/>
    <mergeCell ref="ETM2:ETX2"/>
    <mergeCell ref="ETY2:EUJ2"/>
    <mergeCell ref="EUK2:EUV2"/>
    <mergeCell ref="EUW2:EVH2"/>
    <mergeCell ref="EVI2:EVT2"/>
    <mergeCell ref="EQG2:EQR2"/>
    <mergeCell ref="EQS2:ERD2"/>
    <mergeCell ref="ERE2:ERP2"/>
    <mergeCell ref="ERQ2:ESB2"/>
    <mergeCell ref="ESC2:ESN2"/>
    <mergeCell ref="ESO2:ESZ2"/>
    <mergeCell ref="FEC2:FEN2"/>
    <mergeCell ref="FEO2:FEZ2"/>
    <mergeCell ref="FFA2:FFL2"/>
    <mergeCell ref="FFM2:FFX2"/>
    <mergeCell ref="FFY2:FGJ2"/>
    <mergeCell ref="FGK2:FGV2"/>
    <mergeCell ref="FBI2:FBT2"/>
    <mergeCell ref="FBU2:FCF2"/>
    <mergeCell ref="FCG2:FCR2"/>
    <mergeCell ref="FCS2:FDD2"/>
    <mergeCell ref="FDE2:FDP2"/>
    <mergeCell ref="FDQ2:FEB2"/>
    <mergeCell ref="EYO2:EYZ2"/>
    <mergeCell ref="EZA2:EZL2"/>
    <mergeCell ref="EZM2:EZX2"/>
    <mergeCell ref="EZY2:FAJ2"/>
    <mergeCell ref="FAK2:FAV2"/>
    <mergeCell ref="FAW2:FBH2"/>
    <mergeCell ref="FMK2:FMV2"/>
    <mergeCell ref="FMW2:FNH2"/>
    <mergeCell ref="FNI2:FNT2"/>
    <mergeCell ref="FNU2:FOF2"/>
    <mergeCell ref="FOG2:FOR2"/>
    <mergeCell ref="FOS2:FPD2"/>
    <mergeCell ref="FJQ2:FKB2"/>
    <mergeCell ref="FKC2:FKN2"/>
    <mergeCell ref="FKO2:FKZ2"/>
    <mergeCell ref="FLA2:FLL2"/>
    <mergeCell ref="FLM2:FLX2"/>
    <mergeCell ref="FLY2:FMJ2"/>
    <mergeCell ref="FGW2:FHH2"/>
    <mergeCell ref="FHI2:FHT2"/>
    <mergeCell ref="FHU2:FIF2"/>
    <mergeCell ref="FIG2:FIR2"/>
    <mergeCell ref="FIS2:FJD2"/>
    <mergeCell ref="FJE2:FJP2"/>
    <mergeCell ref="FUS2:FVD2"/>
    <mergeCell ref="FVE2:FVP2"/>
    <mergeCell ref="FVQ2:FWB2"/>
    <mergeCell ref="FWC2:FWN2"/>
    <mergeCell ref="FWO2:FWZ2"/>
    <mergeCell ref="FXA2:FXL2"/>
    <mergeCell ref="FRY2:FSJ2"/>
    <mergeCell ref="FSK2:FSV2"/>
    <mergeCell ref="FSW2:FTH2"/>
    <mergeCell ref="FTI2:FTT2"/>
    <mergeCell ref="FTU2:FUF2"/>
    <mergeCell ref="FUG2:FUR2"/>
    <mergeCell ref="FPE2:FPP2"/>
    <mergeCell ref="FPQ2:FQB2"/>
    <mergeCell ref="FQC2:FQN2"/>
    <mergeCell ref="FQO2:FQZ2"/>
    <mergeCell ref="FRA2:FRL2"/>
    <mergeCell ref="FRM2:FRX2"/>
    <mergeCell ref="GDA2:GDL2"/>
    <mergeCell ref="GDM2:GDX2"/>
    <mergeCell ref="GDY2:GEJ2"/>
    <mergeCell ref="GEK2:GEV2"/>
    <mergeCell ref="GEW2:GFH2"/>
    <mergeCell ref="GFI2:GFT2"/>
    <mergeCell ref="GAG2:GAR2"/>
    <mergeCell ref="GAS2:GBD2"/>
    <mergeCell ref="GBE2:GBP2"/>
    <mergeCell ref="GBQ2:GCB2"/>
    <mergeCell ref="GCC2:GCN2"/>
    <mergeCell ref="GCO2:GCZ2"/>
    <mergeCell ref="FXM2:FXX2"/>
    <mergeCell ref="FXY2:FYJ2"/>
    <mergeCell ref="FYK2:FYV2"/>
    <mergeCell ref="FYW2:FZH2"/>
    <mergeCell ref="FZI2:FZT2"/>
    <mergeCell ref="FZU2:GAF2"/>
    <mergeCell ref="GLI2:GLT2"/>
    <mergeCell ref="GLU2:GMF2"/>
    <mergeCell ref="GMG2:GMR2"/>
    <mergeCell ref="GMS2:GND2"/>
    <mergeCell ref="GNE2:GNP2"/>
    <mergeCell ref="GNQ2:GOB2"/>
    <mergeCell ref="GIO2:GIZ2"/>
    <mergeCell ref="GJA2:GJL2"/>
    <mergeCell ref="GJM2:GJX2"/>
    <mergeCell ref="GJY2:GKJ2"/>
    <mergeCell ref="GKK2:GKV2"/>
    <mergeCell ref="GKW2:GLH2"/>
    <mergeCell ref="GFU2:GGF2"/>
    <mergeCell ref="GGG2:GGR2"/>
    <mergeCell ref="GGS2:GHD2"/>
    <mergeCell ref="GHE2:GHP2"/>
    <mergeCell ref="GHQ2:GIB2"/>
    <mergeCell ref="GIC2:GIN2"/>
    <mergeCell ref="GTQ2:GUB2"/>
    <mergeCell ref="GUC2:GUN2"/>
    <mergeCell ref="GUO2:GUZ2"/>
    <mergeCell ref="GVA2:GVL2"/>
    <mergeCell ref="GVM2:GVX2"/>
    <mergeCell ref="GVY2:GWJ2"/>
    <mergeCell ref="GQW2:GRH2"/>
    <mergeCell ref="GRI2:GRT2"/>
    <mergeCell ref="GRU2:GSF2"/>
    <mergeCell ref="GSG2:GSR2"/>
    <mergeCell ref="GSS2:GTD2"/>
    <mergeCell ref="GTE2:GTP2"/>
    <mergeCell ref="GOC2:GON2"/>
    <mergeCell ref="GOO2:GOZ2"/>
    <mergeCell ref="GPA2:GPL2"/>
    <mergeCell ref="GPM2:GPX2"/>
    <mergeCell ref="GPY2:GQJ2"/>
    <mergeCell ref="GQK2:GQV2"/>
    <mergeCell ref="HBY2:HCJ2"/>
    <mergeCell ref="HCK2:HCV2"/>
    <mergeCell ref="HCW2:HDH2"/>
    <mergeCell ref="HDI2:HDT2"/>
    <mergeCell ref="HDU2:HEF2"/>
    <mergeCell ref="HEG2:HER2"/>
    <mergeCell ref="GZE2:GZP2"/>
    <mergeCell ref="GZQ2:HAB2"/>
    <mergeCell ref="HAC2:HAN2"/>
    <mergeCell ref="HAO2:HAZ2"/>
    <mergeCell ref="HBA2:HBL2"/>
    <mergeCell ref="HBM2:HBX2"/>
    <mergeCell ref="GWK2:GWV2"/>
    <mergeCell ref="GWW2:GXH2"/>
    <mergeCell ref="GXI2:GXT2"/>
    <mergeCell ref="GXU2:GYF2"/>
    <mergeCell ref="GYG2:GYR2"/>
    <mergeCell ref="GYS2:GZD2"/>
    <mergeCell ref="HKG2:HKR2"/>
    <mergeCell ref="HKS2:HLD2"/>
    <mergeCell ref="HLE2:HLP2"/>
    <mergeCell ref="HLQ2:HMB2"/>
    <mergeCell ref="HMC2:HMN2"/>
    <mergeCell ref="HMO2:HMZ2"/>
    <mergeCell ref="HHM2:HHX2"/>
    <mergeCell ref="HHY2:HIJ2"/>
    <mergeCell ref="HIK2:HIV2"/>
    <mergeCell ref="HIW2:HJH2"/>
    <mergeCell ref="HJI2:HJT2"/>
    <mergeCell ref="HJU2:HKF2"/>
    <mergeCell ref="HES2:HFD2"/>
    <mergeCell ref="HFE2:HFP2"/>
    <mergeCell ref="HFQ2:HGB2"/>
    <mergeCell ref="HGC2:HGN2"/>
    <mergeCell ref="HGO2:HGZ2"/>
    <mergeCell ref="HHA2:HHL2"/>
    <mergeCell ref="HSO2:HSZ2"/>
    <mergeCell ref="HTA2:HTL2"/>
    <mergeCell ref="HTM2:HTX2"/>
    <mergeCell ref="HTY2:HUJ2"/>
    <mergeCell ref="HUK2:HUV2"/>
    <mergeCell ref="HUW2:HVH2"/>
    <mergeCell ref="HPU2:HQF2"/>
    <mergeCell ref="HQG2:HQR2"/>
    <mergeCell ref="HQS2:HRD2"/>
    <mergeCell ref="HRE2:HRP2"/>
    <mergeCell ref="HRQ2:HSB2"/>
    <mergeCell ref="HSC2:HSN2"/>
    <mergeCell ref="HNA2:HNL2"/>
    <mergeCell ref="HNM2:HNX2"/>
    <mergeCell ref="HNY2:HOJ2"/>
    <mergeCell ref="HOK2:HOV2"/>
    <mergeCell ref="HOW2:HPH2"/>
    <mergeCell ref="HPI2:HPT2"/>
    <mergeCell ref="IAW2:IBH2"/>
    <mergeCell ref="IBI2:IBT2"/>
    <mergeCell ref="IBU2:ICF2"/>
    <mergeCell ref="ICG2:ICR2"/>
    <mergeCell ref="ICS2:IDD2"/>
    <mergeCell ref="IDE2:IDP2"/>
    <mergeCell ref="HYC2:HYN2"/>
    <mergeCell ref="HYO2:HYZ2"/>
    <mergeCell ref="HZA2:HZL2"/>
    <mergeCell ref="HZM2:HZX2"/>
    <mergeCell ref="HZY2:IAJ2"/>
    <mergeCell ref="IAK2:IAV2"/>
    <mergeCell ref="HVI2:HVT2"/>
    <mergeCell ref="HVU2:HWF2"/>
    <mergeCell ref="HWG2:HWR2"/>
    <mergeCell ref="HWS2:HXD2"/>
    <mergeCell ref="HXE2:HXP2"/>
    <mergeCell ref="HXQ2:HYB2"/>
    <mergeCell ref="IJE2:IJP2"/>
    <mergeCell ref="IJQ2:IKB2"/>
    <mergeCell ref="IKC2:IKN2"/>
    <mergeCell ref="IKO2:IKZ2"/>
    <mergeCell ref="ILA2:ILL2"/>
    <mergeCell ref="ILM2:ILX2"/>
    <mergeCell ref="IGK2:IGV2"/>
    <mergeCell ref="IGW2:IHH2"/>
    <mergeCell ref="IHI2:IHT2"/>
    <mergeCell ref="IHU2:IIF2"/>
    <mergeCell ref="IIG2:IIR2"/>
    <mergeCell ref="IIS2:IJD2"/>
    <mergeCell ref="IDQ2:IEB2"/>
    <mergeCell ref="IEC2:IEN2"/>
    <mergeCell ref="IEO2:IEZ2"/>
    <mergeCell ref="IFA2:IFL2"/>
    <mergeCell ref="IFM2:IFX2"/>
    <mergeCell ref="IFY2:IGJ2"/>
    <mergeCell ref="IRM2:IRX2"/>
    <mergeCell ref="IRY2:ISJ2"/>
    <mergeCell ref="ISK2:ISV2"/>
    <mergeCell ref="ISW2:ITH2"/>
    <mergeCell ref="ITI2:ITT2"/>
    <mergeCell ref="ITU2:IUF2"/>
    <mergeCell ref="IOS2:IPD2"/>
    <mergeCell ref="IPE2:IPP2"/>
    <mergeCell ref="IPQ2:IQB2"/>
    <mergeCell ref="IQC2:IQN2"/>
    <mergeCell ref="IQO2:IQZ2"/>
    <mergeCell ref="IRA2:IRL2"/>
    <mergeCell ref="ILY2:IMJ2"/>
    <mergeCell ref="IMK2:IMV2"/>
    <mergeCell ref="IMW2:INH2"/>
    <mergeCell ref="INI2:INT2"/>
    <mergeCell ref="INU2:IOF2"/>
    <mergeCell ref="IOG2:IOR2"/>
    <mergeCell ref="IZU2:JAF2"/>
    <mergeCell ref="JAG2:JAR2"/>
    <mergeCell ref="JAS2:JBD2"/>
    <mergeCell ref="JBE2:JBP2"/>
    <mergeCell ref="JBQ2:JCB2"/>
    <mergeCell ref="JCC2:JCN2"/>
    <mergeCell ref="IXA2:IXL2"/>
    <mergeCell ref="IXM2:IXX2"/>
    <mergeCell ref="IXY2:IYJ2"/>
    <mergeCell ref="IYK2:IYV2"/>
    <mergeCell ref="IYW2:IZH2"/>
    <mergeCell ref="IZI2:IZT2"/>
    <mergeCell ref="IUG2:IUR2"/>
    <mergeCell ref="IUS2:IVD2"/>
    <mergeCell ref="IVE2:IVP2"/>
    <mergeCell ref="IVQ2:IWB2"/>
    <mergeCell ref="IWC2:IWN2"/>
    <mergeCell ref="IWO2:IWZ2"/>
    <mergeCell ref="JIC2:JIN2"/>
    <mergeCell ref="JIO2:JIZ2"/>
    <mergeCell ref="JJA2:JJL2"/>
    <mergeCell ref="JJM2:JJX2"/>
    <mergeCell ref="JJY2:JKJ2"/>
    <mergeCell ref="JKK2:JKV2"/>
    <mergeCell ref="JFI2:JFT2"/>
    <mergeCell ref="JFU2:JGF2"/>
    <mergeCell ref="JGG2:JGR2"/>
    <mergeCell ref="JGS2:JHD2"/>
    <mergeCell ref="JHE2:JHP2"/>
    <mergeCell ref="JHQ2:JIB2"/>
    <mergeCell ref="JCO2:JCZ2"/>
    <mergeCell ref="JDA2:JDL2"/>
    <mergeCell ref="JDM2:JDX2"/>
    <mergeCell ref="JDY2:JEJ2"/>
    <mergeCell ref="JEK2:JEV2"/>
    <mergeCell ref="JEW2:JFH2"/>
    <mergeCell ref="JQK2:JQV2"/>
    <mergeCell ref="JQW2:JRH2"/>
    <mergeCell ref="JRI2:JRT2"/>
    <mergeCell ref="JRU2:JSF2"/>
    <mergeCell ref="JSG2:JSR2"/>
    <mergeCell ref="JSS2:JTD2"/>
    <mergeCell ref="JNQ2:JOB2"/>
    <mergeCell ref="JOC2:JON2"/>
    <mergeCell ref="JOO2:JOZ2"/>
    <mergeCell ref="JPA2:JPL2"/>
    <mergeCell ref="JPM2:JPX2"/>
    <mergeCell ref="JPY2:JQJ2"/>
    <mergeCell ref="JKW2:JLH2"/>
    <mergeCell ref="JLI2:JLT2"/>
    <mergeCell ref="JLU2:JMF2"/>
    <mergeCell ref="JMG2:JMR2"/>
    <mergeCell ref="JMS2:JND2"/>
    <mergeCell ref="JNE2:JNP2"/>
    <mergeCell ref="JYS2:JZD2"/>
    <mergeCell ref="JZE2:JZP2"/>
    <mergeCell ref="JZQ2:KAB2"/>
    <mergeCell ref="KAC2:KAN2"/>
    <mergeCell ref="KAO2:KAZ2"/>
    <mergeCell ref="KBA2:KBL2"/>
    <mergeCell ref="JVY2:JWJ2"/>
    <mergeCell ref="JWK2:JWV2"/>
    <mergeCell ref="JWW2:JXH2"/>
    <mergeCell ref="JXI2:JXT2"/>
    <mergeCell ref="JXU2:JYF2"/>
    <mergeCell ref="JYG2:JYR2"/>
    <mergeCell ref="JTE2:JTP2"/>
    <mergeCell ref="JTQ2:JUB2"/>
    <mergeCell ref="JUC2:JUN2"/>
    <mergeCell ref="JUO2:JUZ2"/>
    <mergeCell ref="JVA2:JVL2"/>
    <mergeCell ref="JVM2:JVX2"/>
    <mergeCell ref="KHA2:KHL2"/>
    <mergeCell ref="KHM2:KHX2"/>
    <mergeCell ref="KHY2:KIJ2"/>
    <mergeCell ref="KIK2:KIV2"/>
    <mergeCell ref="KIW2:KJH2"/>
    <mergeCell ref="KJI2:KJT2"/>
    <mergeCell ref="KEG2:KER2"/>
    <mergeCell ref="KES2:KFD2"/>
    <mergeCell ref="KFE2:KFP2"/>
    <mergeCell ref="KFQ2:KGB2"/>
    <mergeCell ref="KGC2:KGN2"/>
    <mergeCell ref="KGO2:KGZ2"/>
    <mergeCell ref="KBM2:KBX2"/>
    <mergeCell ref="KBY2:KCJ2"/>
    <mergeCell ref="KCK2:KCV2"/>
    <mergeCell ref="KCW2:KDH2"/>
    <mergeCell ref="KDI2:KDT2"/>
    <mergeCell ref="KDU2:KEF2"/>
    <mergeCell ref="KPI2:KPT2"/>
    <mergeCell ref="KPU2:KQF2"/>
    <mergeCell ref="KQG2:KQR2"/>
    <mergeCell ref="KQS2:KRD2"/>
    <mergeCell ref="KRE2:KRP2"/>
    <mergeCell ref="KRQ2:KSB2"/>
    <mergeCell ref="KMO2:KMZ2"/>
    <mergeCell ref="KNA2:KNL2"/>
    <mergeCell ref="KNM2:KNX2"/>
    <mergeCell ref="KNY2:KOJ2"/>
    <mergeCell ref="KOK2:KOV2"/>
    <mergeCell ref="KOW2:KPH2"/>
    <mergeCell ref="KJU2:KKF2"/>
    <mergeCell ref="KKG2:KKR2"/>
    <mergeCell ref="KKS2:KLD2"/>
    <mergeCell ref="KLE2:KLP2"/>
    <mergeCell ref="KLQ2:KMB2"/>
    <mergeCell ref="KMC2:KMN2"/>
    <mergeCell ref="KXQ2:KYB2"/>
    <mergeCell ref="KYC2:KYN2"/>
    <mergeCell ref="KYO2:KYZ2"/>
    <mergeCell ref="KZA2:KZL2"/>
    <mergeCell ref="KZM2:KZX2"/>
    <mergeCell ref="KZY2:LAJ2"/>
    <mergeCell ref="KUW2:KVH2"/>
    <mergeCell ref="KVI2:KVT2"/>
    <mergeCell ref="KVU2:KWF2"/>
    <mergeCell ref="KWG2:KWR2"/>
    <mergeCell ref="KWS2:KXD2"/>
    <mergeCell ref="KXE2:KXP2"/>
    <mergeCell ref="KSC2:KSN2"/>
    <mergeCell ref="KSO2:KSZ2"/>
    <mergeCell ref="KTA2:KTL2"/>
    <mergeCell ref="KTM2:KTX2"/>
    <mergeCell ref="KTY2:KUJ2"/>
    <mergeCell ref="KUK2:KUV2"/>
    <mergeCell ref="LFY2:LGJ2"/>
    <mergeCell ref="LGK2:LGV2"/>
    <mergeCell ref="LGW2:LHH2"/>
    <mergeCell ref="LHI2:LHT2"/>
    <mergeCell ref="LHU2:LIF2"/>
    <mergeCell ref="LIG2:LIR2"/>
    <mergeCell ref="LDE2:LDP2"/>
    <mergeCell ref="LDQ2:LEB2"/>
    <mergeCell ref="LEC2:LEN2"/>
    <mergeCell ref="LEO2:LEZ2"/>
    <mergeCell ref="LFA2:LFL2"/>
    <mergeCell ref="LFM2:LFX2"/>
    <mergeCell ref="LAK2:LAV2"/>
    <mergeCell ref="LAW2:LBH2"/>
    <mergeCell ref="LBI2:LBT2"/>
    <mergeCell ref="LBU2:LCF2"/>
    <mergeCell ref="LCG2:LCR2"/>
    <mergeCell ref="LCS2:LDD2"/>
    <mergeCell ref="LOG2:LOR2"/>
    <mergeCell ref="LOS2:LPD2"/>
    <mergeCell ref="LPE2:LPP2"/>
    <mergeCell ref="LPQ2:LQB2"/>
    <mergeCell ref="LQC2:LQN2"/>
    <mergeCell ref="LQO2:LQZ2"/>
    <mergeCell ref="LLM2:LLX2"/>
    <mergeCell ref="LLY2:LMJ2"/>
    <mergeCell ref="LMK2:LMV2"/>
    <mergeCell ref="LMW2:LNH2"/>
    <mergeCell ref="LNI2:LNT2"/>
    <mergeCell ref="LNU2:LOF2"/>
    <mergeCell ref="LIS2:LJD2"/>
    <mergeCell ref="LJE2:LJP2"/>
    <mergeCell ref="LJQ2:LKB2"/>
    <mergeCell ref="LKC2:LKN2"/>
    <mergeCell ref="LKO2:LKZ2"/>
    <mergeCell ref="LLA2:LLL2"/>
    <mergeCell ref="LWO2:LWZ2"/>
    <mergeCell ref="LXA2:LXL2"/>
    <mergeCell ref="LXM2:LXX2"/>
    <mergeCell ref="LXY2:LYJ2"/>
    <mergeCell ref="LYK2:LYV2"/>
    <mergeCell ref="LYW2:LZH2"/>
    <mergeCell ref="LTU2:LUF2"/>
    <mergeCell ref="LUG2:LUR2"/>
    <mergeCell ref="LUS2:LVD2"/>
    <mergeCell ref="LVE2:LVP2"/>
    <mergeCell ref="LVQ2:LWB2"/>
    <mergeCell ref="LWC2:LWN2"/>
    <mergeCell ref="LRA2:LRL2"/>
    <mergeCell ref="LRM2:LRX2"/>
    <mergeCell ref="LRY2:LSJ2"/>
    <mergeCell ref="LSK2:LSV2"/>
    <mergeCell ref="LSW2:LTH2"/>
    <mergeCell ref="LTI2:LTT2"/>
    <mergeCell ref="MEW2:MFH2"/>
    <mergeCell ref="MFI2:MFT2"/>
    <mergeCell ref="MFU2:MGF2"/>
    <mergeCell ref="MGG2:MGR2"/>
    <mergeCell ref="MGS2:MHD2"/>
    <mergeCell ref="MHE2:MHP2"/>
    <mergeCell ref="MCC2:MCN2"/>
    <mergeCell ref="MCO2:MCZ2"/>
    <mergeCell ref="MDA2:MDL2"/>
    <mergeCell ref="MDM2:MDX2"/>
    <mergeCell ref="MDY2:MEJ2"/>
    <mergeCell ref="MEK2:MEV2"/>
    <mergeCell ref="LZI2:LZT2"/>
    <mergeCell ref="LZU2:MAF2"/>
    <mergeCell ref="MAG2:MAR2"/>
    <mergeCell ref="MAS2:MBD2"/>
    <mergeCell ref="MBE2:MBP2"/>
    <mergeCell ref="MBQ2:MCB2"/>
    <mergeCell ref="MNE2:MNP2"/>
    <mergeCell ref="MNQ2:MOB2"/>
    <mergeCell ref="MOC2:MON2"/>
    <mergeCell ref="MOO2:MOZ2"/>
    <mergeCell ref="MPA2:MPL2"/>
    <mergeCell ref="MPM2:MPX2"/>
    <mergeCell ref="MKK2:MKV2"/>
    <mergeCell ref="MKW2:MLH2"/>
    <mergeCell ref="MLI2:MLT2"/>
    <mergeCell ref="MLU2:MMF2"/>
    <mergeCell ref="MMG2:MMR2"/>
    <mergeCell ref="MMS2:MND2"/>
    <mergeCell ref="MHQ2:MIB2"/>
    <mergeCell ref="MIC2:MIN2"/>
    <mergeCell ref="MIO2:MIZ2"/>
    <mergeCell ref="MJA2:MJL2"/>
    <mergeCell ref="MJM2:MJX2"/>
    <mergeCell ref="MJY2:MKJ2"/>
    <mergeCell ref="MVM2:MVX2"/>
    <mergeCell ref="MVY2:MWJ2"/>
    <mergeCell ref="MWK2:MWV2"/>
    <mergeCell ref="MWW2:MXH2"/>
    <mergeCell ref="MXI2:MXT2"/>
    <mergeCell ref="MXU2:MYF2"/>
    <mergeCell ref="MSS2:MTD2"/>
    <mergeCell ref="MTE2:MTP2"/>
    <mergeCell ref="MTQ2:MUB2"/>
    <mergeCell ref="MUC2:MUN2"/>
    <mergeCell ref="MUO2:MUZ2"/>
    <mergeCell ref="MVA2:MVL2"/>
    <mergeCell ref="MPY2:MQJ2"/>
    <mergeCell ref="MQK2:MQV2"/>
    <mergeCell ref="MQW2:MRH2"/>
    <mergeCell ref="MRI2:MRT2"/>
    <mergeCell ref="MRU2:MSF2"/>
    <mergeCell ref="MSG2:MSR2"/>
    <mergeCell ref="NDU2:NEF2"/>
    <mergeCell ref="NEG2:NER2"/>
    <mergeCell ref="NES2:NFD2"/>
    <mergeCell ref="NFE2:NFP2"/>
    <mergeCell ref="NFQ2:NGB2"/>
    <mergeCell ref="NGC2:NGN2"/>
    <mergeCell ref="NBA2:NBL2"/>
    <mergeCell ref="NBM2:NBX2"/>
    <mergeCell ref="NBY2:NCJ2"/>
    <mergeCell ref="NCK2:NCV2"/>
    <mergeCell ref="NCW2:NDH2"/>
    <mergeCell ref="NDI2:NDT2"/>
    <mergeCell ref="MYG2:MYR2"/>
    <mergeCell ref="MYS2:MZD2"/>
    <mergeCell ref="MZE2:MZP2"/>
    <mergeCell ref="MZQ2:NAB2"/>
    <mergeCell ref="NAC2:NAN2"/>
    <mergeCell ref="NAO2:NAZ2"/>
    <mergeCell ref="NMC2:NMN2"/>
    <mergeCell ref="NMO2:NMZ2"/>
    <mergeCell ref="NNA2:NNL2"/>
    <mergeCell ref="NNM2:NNX2"/>
    <mergeCell ref="NNY2:NOJ2"/>
    <mergeCell ref="NOK2:NOV2"/>
    <mergeCell ref="NJI2:NJT2"/>
    <mergeCell ref="NJU2:NKF2"/>
    <mergeCell ref="NKG2:NKR2"/>
    <mergeCell ref="NKS2:NLD2"/>
    <mergeCell ref="NLE2:NLP2"/>
    <mergeCell ref="NLQ2:NMB2"/>
    <mergeCell ref="NGO2:NGZ2"/>
    <mergeCell ref="NHA2:NHL2"/>
    <mergeCell ref="NHM2:NHX2"/>
    <mergeCell ref="NHY2:NIJ2"/>
    <mergeCell ref="NIK2:NIV2"/>
    <mergeCell ref="NIW2:NJH2"/>
    <mergeCell ref="NUK2:NUV2"/>
    <mergeCell ref="NUW2:NVH2"/>
    <mergeCell ref="NVI2:NVT2"/>
    <mergeCell ref="NVU2:NWF2"/>
    <mergeCell ref="NWG2:NWR2"/>
    <mergeCell ref="NWS2:NXD2"/>
    <mergeCell ref="NRQ2:NSB2"/>
    <mergeCell ref="NSC2:NSN2"/>
    <mergeCell ref="NSO2:NSZ2"/>
    <mergeCell ref="NTA2:NTL2"/>
    <mergeCell ref="NTM2:NTX2"/>
    <mergeCell ref="NTY2:NUJ2"/>
    <mergeCell ref="NOW2:NPH2"/>
    <mergeCell ref="NPI2:NPT2"/>
    <mergeCell ref="NPU2:NQF2"/>
    <mergeCell ref="NQG2:NQR2"/>
    <mergeCell ref="NQS2:NRD2"/>
    <mergeCell ref="NRE2:NRP2"/>
    <mergeCell ref="OCS2:ODD2"/>
    <mergeCell ref="ODE2:ODP2"/>
    <mergeCell ref="ODQ2:OEB2"/>
    <mergeCell ref="OEC2:OEN2"/>
    <mergeCell ref="OEO2:OEZ2"/>
    <mergeCell ref="OFA2:OFL2"/>
    <mergeCell ref="NZY2:OAJ2"/>
    <mergeCell ref="OAK2:OAV2"/>
    <mergeCell ref="OAW2:OBH2"/>
    <mergeCell ref="OBI2:OBT2"/>
    <mergeCell ref="OBU2:OCF2"/>
    <mergeCell ref="OCG2:OCR2"/>
    <mergeCell ref="NXE2:NXP2"/>
    <mergeCell ref="NXQ2:NYB2"/>
    <mergeCell ref="NYC2:NYN2"/>
    <mergeCell ref="NYO2:NYZ2"/>
    <mergeCell ref="NZA2:NZL2"/>
    <mergeCell ref="NZM2:NZX2"/>
    <mergeCell ref="OLA2:OLL2"/>
    <mergeCell ref="OLM2:OLX2"/>
    <mergeCell ref="OLY2:OMJ2"/>
    <mergeCell ref="OMK2:OMV2"/>
    <mergeCell ref="OMW2:ONH2"/>
    <mergeCell ref="ONI2:ONT2"/>
    <mergeCell ref="OIG2:OIR2"/>
    <mergeCell ref="OIS2:OJD2"/>
    <mergeCell ref="OJE2:OJP2"/>
    <mergeCell ref="OJQ2:OKB2"/>
    <mergeCell ref="OKC2:OKN2"/>
    <mergeCell ref="OKO2:OKZ2"/>
    <mergeCell ref="OFM2:OFX2"/>
    <mergeCell ref="OFY2:OGJ2"/>
    <mergeCell ref="OGK2:OGV2"/>
    <mergeCell ref="OGW2:OHH2"/>
    <mergeCell ref="OHI2:OHT2"/>
    <mergeCell ref="OHU2:OIF2"/>
    <mergeCell ref="OTI2:OTT2"/>
    <mergeCell ref="OTU2:OUF2"/>
    <mergeCell ref="OUG2:OUR2"/>
    <mergeCell ref="OUS2:OVD2"/>
    <mergeCell ref="OVE2:OVP2"/>
    <mergeCell ref="OVQ2:OWB2"/>
    <mergeCell ref="OQO2:OQZ2"/>
    <mergeCell ref="ORA2:ORL2"/>
    <mergeCell ref="ORM2:ORX2"/>
    <mergeCell ref="ORY2:OSJ2"/>
    <mergeCell ref="OSK2:OSV2"/>
    <mergeCell ref="OSW2:OTH2"/>
    <mergeCell ref="ONU2:OOF2"/>
    <mergeCell ref="OOG2:OOR2"/>
    <mergeCell ref="OOS2:OPD2"/>
    <mergeCell ref="OPE2:OPP2"/>
    <mergeCell ref="OPQ2:OQB2"/>
    <mergeCell ref="OQC2:OQN2"/>
    <mergeCell ref="PBQ2:PCB2"/>
    <mergeCell ref="PCC2:PCN2"/>
    <mergeCell ref="PCO2:PCZ2"/>
    <mergeCell ref="PDA2:PDL2"/>
    <mergeCell ref="PDM2:PDX2"/>
    <mergeCell ref="PDY2:PEJ2"/>
    <mergeCell ref="OYW2:OZH2"/>
    <mergeCell ref="OZI2:OZT2"/>
    <mergeCell ref="OZU2:PAF2"/>
    <mergeCell ref="PAG2:PAR2"/>
    <mergeCell ref="PAS2:PBD2"/>
    <mergeCell ref="PBE2:PBP2"/>
    <mergeCell ref="OWC2:OWN2"/>
    <mergeCell ref="OWO2:OWZ2"/>
    <mergeCell ref="OXA2:OXL2"/>
    <mergeCell ref="OXM2:OXX2"/>
    <mergeCell ref="OXY2:OYJ2"/>
    <mergeCell ref="OYK2:OYV2"/>
    <mergeCell ref="PJY2:PKJ2"/>
    <mergeCell ref="PKK2:PKV2"/>
    <mergeCell ref="PKW2:PLH2"/>
    <mergeCell ref="PLI2:PLT2"/>
    <mergeCell ref="PLU2:PMF2"/>
    <mergeCell ref="PMG2:PMR2"/>
    <mergeCell ref="PHE2:PHP2"/>
    <mergeCell ref="PHQ2:PIB2"/>
    <mergeCell ref="PIC2:PIN2"/>
    <mergeCell ref="PIO2:PIZ2"/>
    <mergeCell ref="PJA2:PJL2"/>
    <mergeCell ref="PJM2:PJX2"/>
    <mergeCell ref="PEK2:PEV2"/>
    <mergeCell ref="PEW2:PFH2"/>
    <mergeCell ref="PFI2:PFT2"/>
    <mergeCell ref="PFU2:PGF2"/>
    <mergeCell ref="PGG2:PGR2"/>
    <mergeCell ref="PGS2:PHD2"/>
    <mergeCell ref="PSG2:PSR2"/>
    <mergeCell ref="PSS2:PTD2"/>
    <mergeCell ref="PTE2:PTP2"/>
    <mergeCell ref="PTQ2:PUB2"/>
    <mergeCell ref="PUC2:PUN2"/>
    <mergeCell ref="PUO2:PUZ2"/>
    <mergeCell ref="PPM2:PPX2"/>
    <mergeCell ref="PPY2:PQJ2"/>
    <mergeCell ref="PQK2:PQV2"/>
    <mergeCell ref="PQW2:PRH2"/>
    <mergeCell ref="PRI2:PRT2"/>
    <mergeCell ref="PRU2:PSF2"/>
    <mergeCell ref="PMS2:PND2"/>
    <mergeCell ref="PNE2:PNP2"/>
    <mergeCell ref="PNQ2:POB2"/>
    <mergeCell ref="POC2:PON2"/>
    <mergeCell ref="POO2:POZ2"/>
    <mergeCell ref="PPA2:PPL2"/>
    <mergeCell ref="QAO2:QAZ2"/>
    <mergeCell ref="QBA2:QBL2"/>
    <mergeCell ref="QBM2:QBX2"/>
    <mergeCell ref="QBY2:QCJ2"/>
    <mergeCell ref="QCK2:QCV2"/>
    <mergeCell ref="QCW2:QDH2"/>
    <mergeCell ref="PXU2:PYF2"/>
    <mergeCell ref="PYG2:PYR2"/>
    <mergeCell ref="PYS2:PZD2"/>
    <mergeCell ref="PZE2:PZP2"/>
    <mergeCell ref="PZQ2:QAB2"/>
    <mergeCell ref="QAC2:QAN2"/>
    <mergeCell ref="PVA2:PVL2"/>
    <mergeCell ref="PVM2:PVX2"/>
    <mergeCell ref="PVY2:PWJ2"/>
    <mergeCell ref="PWK2:PWV2"/>
    <mergeCell ref="PWW2:PXH2"/>
    <mergeCell ref="PXI2:PXT2"/>
    <mergeCell ref="QIW2:QJH2"/>
    <mergeCell ref="QJI2:QJT2"/>
    <mergeCell ref="QJU2:QKF2"/>
    <mergeCell ref="QKG2:QKR2"/>
    <mergeCell ref="QKS2:QLD2"/>
    <mergeCell ref="QLE2:QLP2"/>
    <mergeCell ref="QGC2:QGN2"/>
    <mergeCell ref="QGO2:QGZ2"/>
    <mergeCell ref="QHA2:QHL2"/>
    <mergeCell ref="QHM2:QHX2"/>
    <mergeCell ref="QHY2:QIJ2"/>
    <mergeCell ref="QIK2:QIV2"/>
    <mergeCell ref="QDI2:QDT2"/>
    <mergeCell ref="QDU2:QEF2"/>
    <mergeCell ref="QEG2:QER2"/>
    <mergeCell ref="QES2:QFD2"/>
    <mergeCell ref="QFE2:QFP2"/>
    <mergeCell ref="QFQ2:QGB2"/>
    <mergeCell ref="QRE2:QRP2"/>
    <mergeCell ref="QRQ2:QSB2"/>
    <mergeCell ref="QSC2:QSN2"/>
    <mergeCell ref="QSO2:QSZ2"/>
    <mergeCell ref="QTA2:QTL2"/>
    <mergeCell ref="QTM2:QTX2"/>
    <mergeCell ref="QOK2:QOV2"/>
    <mergeCell ref="QOW2:QPH2"/>
    <mergeCell ref="QPI2:QPT2"/>
    <mergeCell ref="QPU2:QQF2"/>
    <mergeCell ref="QQG2:QQR2"/>
    <mergeCell ref="QQS2:QRD2"/>
    <mergeCell ref="QLQ2:QMB2"/>
    <mergeCell ref="QMC2:QMN2"/>
    <mergeCell ref="QMO2:QMZ2"/>
    <mergeCell ref="QNA2:QNL2"/>
    <mergeCell ref="QNM2:QNX2"/>
    <mergeCell ref="QNY2:QOJ2"/>
    <mergeCell ref="QZM2:QZX2"/>
    <mergeCell ref="QZY2:RAJ2"/>
    <mergeCell ref="RAK2:RAV2"/>
    <mergeCell ref="RAW2:RBH2"/>
    <mergeCell ref="RBI2:RBT2"/>
    <mergeCell ref="RBU2:RCF2"/>
    <mergeCell ref="QWS2:QXD2"/>
    <mergeCell ref="QXE2:QXP2"/>
    <mergeCell ref="QXQ2:QYB2"/>
    <mergeCell ref="QYC2:QYN2"/>
    <mergeCell ref="QYO2:QYZ2"/>
    <mergeCell ref="QZA2:QZL2"/>
    <mergeCell ref="QTY2:QUJ2"/>
    <mergeCell ref="QUK2:QUV2"/>
    <mergeCell ref="QUW2:QVH2"/>
    <mergeCell ref="QVI2:QVT2"/>
    <mergeCell ref="QVU2:QWF2"/>
    <mergeCell ref="QWG2:QWR2"/>
    <mergeCell ref="RHU2:RIF2"/>
    <mergeCell ref="RIG2:RIR2"/>
    <mergeCell ref="RIS2:RJD2"/>
    <mergeCell ref="RJE2:RJP2"/>
    <mergeCell ref="RJQ2:RKB2"/>
    <mergeCell ref="RKC2:RKN2"/>
    <mergeCell ref="RFA2:RFL2"/>
    <mergeCell ref="RFM2:RFX2"/>
    <mergeCell ref="RFY2:RGJ2"/>
    <mergeCell ref="RGK2:RGV2"/>
    <mergeCell ref="RGW2:RHH2"/>
    <mergeCell ref="RHI2:RHT2"/>
    <mergeCell ref="RCG2:RCR2"/>
    <mergeCell ref="RCS2:RDD2"/>
    <mergeCell ref="RDE2:RDP2"/>
    <mergeCell ref="RDQ2:REB2"/>
    <mergeCell ref="REC2:REN2"/>
    <mergeCell ref="REO2:REZ2"/>
    <mergeCell ref="RQC2:RQN2"/>
    <mergeCell ref="RQO2:RQZ2"/>
    <mergeCell ref="RRA2:RRL2"/>
    <mergeCell ref="RRM2:RRX2"/>
    <mergeCell ref="RRY2:RSJ2"/>
    <mergeCell ref="RSK2:RSV2"/>
    <mergeCell ref="RNI2:RNT2"/>
    <mergeCell ref="RNU2:ROF2"/>
    <mergeCell ref="ROG2:ROR2"/>
    <mergeCell ref="ROS2:RPD2"/>
    <mergeCell ref="RPE2:RPP2"/>
    <mergeCell ref="RPQ2:RQB2"/>
    <mergeCell ref="RKO2:RKZ2"/>
    <mergeCell ref="RLA2:RLL2"/>
    <mergeCell ref="RLM2:RLX2"/>
    <mergeCell ref="RLY2:RMJ2"/>
    <mergeCell ref="RMK2:RMV2"/>
    <mergeCell ref="RMW2:RNH2"/>
    <mergeCell ref="RYK2:RYV2"/>
    <mergeCell ref="RYW2:RZH2"/>
    <mergeCell ref="RZI2:RZT2"/>
    <mergeCell ref="RZU2:SAF2"/>
    <mergeCell ref="SAG2:SAR2"/>
    <mergeCell ref="SAS2:SBD2"/>
    <mergeCell ref="RVQ2:RWB2"/>
    <mergeCell ref="RWC2:RWN2"/>
    <mergeCell ref="RWO2:RWZ2"/>
    <mergeCell ref="RXA2:RXL2"/>
    <mergeCell ref="RXM2:RXX2"/>
    <mergeCell ref="RXY2:RYJ2"/>
    <mergeCell ref="RSW2:RTH2"/>
    <mergeCell ref="RTI2:RTT2"/>
    <mergeCell ref="RTU2:RUF2"/>
    <mergeCell ref="RUG2:RUR2"/>
    <mergeCell ref="RUS2:RVD2"/>
    <mergeCell ref="RVE2:RVP2"/>
    <mergeCell ref="SGS2:SHD2"/>
    <mergeCell ref="SHE2:SHP2"/>
    <mergeCell ref="SHQ2:SIB2"/>
    <mergeCell ref="SIC2:SIN2"/>
    <mergeCell ref="SIO2:SIZ2"/>
    <mergeCell ref="SJA2:SJL2"/>
    <mergeCell ref="SDY2:SEJ2"/>
    <mergeCell ref="SEK2:SEV2"/>
    <mergeCell ref="SEW2:SFH2"/>
    <mergeCell ref="SFI2:SFT2"/>
    <mergeCell ref="SFU2:SGF2"/>
    <mergeCell ref="SGG2:SGR2"/>
    <mergeCell ref="SBE2:SBP2"/>
    <mergeCell ref="SBQ2:SCB2"/>
    <mergeCell ref="SCC2:SCN2"/>
    <mergeCell ref="SCO2:SCZ2"/>
    <mergeCell ref="SDA2:SDL2"/>
    <mergeCell ref="SDM2:SDX2"/>
    <mergeCell ref="SPA2:SPL2"/>
    <mergeCell ref="SPM2:SPX2"/>
    <mergeCell ref="SPY2:SQJ2"/>
    <mergeCell ref="SQK2:SQV2"/>
    <mergeCell ref="SQW2:SRH2"/>
    <mergeCell ref="SRI2:SRT2"/>
    <mergeCell ref="SMG2:SMR2"/>
    <mergeCell ref="SMS2:SND2"/>
    <mergeCell ref="SNE2:SNP2"/>
    <mergeCell ref="SNQ2:SOB2"/>
    <mergeCell ref="SOC2:SON2"/>
    <mergeCell ref="SOO2:SOZ2"/>
    <mergeCell ref="SJM2:SJX2"/>
    <mergeCell ref="SJY2:SKJ2"/>
    <mergeCell ref="SKK2:SKV2"/>
    <mergeCell ref="SKW2:SLH2"/>
    <mergeCell ref="SLI2:SLT2"/>
    <mergeCell ref="SLU2:SMF2"/>
    <mergeCell ref="SXI2:SXT2"/>
    <mergeCell ref="SXU2:SYF2"/>
    <mergeCell ref="SYG2:SYR2"/>
    <mergeCell ref="SYS2:SZD2"/>
    <mergeCell ref="SZE2:SZP2"/>
    <mergeCell ref="SZQ2:TAB2"/>
    <mergeCell ref="SUO2:SUZ2"/>
    <mergeCell ref="SVA2:SVL2"/>
    <mergeCell ref="SVM2:SVX2"/>
    <mergeCell ref="SVY2:SWJ2"/>
    <mergeCell ref="SWK2:SWV2"/>
    <mergeCell ref="SWW2:SXH2"/>
    <mergeCell ref="SRU2:SSF2"/>
    <mergeCell ref="SSG2:SSR2"/>
    <mergeCell ref="SSS2:STD2"/>
    <mergeCell ref="STE2:STP2"/>
    <mergeCell ref="STQ2:SUB2"/>
    <mergeCell ref="SUC2:SUN2"/>
    <mergeCell ref="TFQ2:TGB2"/>
    <mergeCell ref="TGC2:TGN2"/>
    <mergeCell ref="TGO2:TGZ2"/>
    <mergeCell ref="THA2:THL2"/>
    <mergeCell ref="THM2:THX2"/>
    <mergeCell ref="THY2:TIJ2"/>
    <mergeCell ref="TCW2:TDH2"/>
    <mergeCell ref="TDI2:TDT2"/>
    <mergeCell ref="TDU2:TEF2"/>
    <mergeCell ref="TEG2:TER2"/>
    <mergeCell ref="TES2:TFD2"/>
    <mergeCell ref="TFE2:TFP2"/>
    <mergeCell ref="TAC2:TAN2"/>
    <mergeCell ref="TAO2:TAZ2"/>
    <mergeCell ref="TBA2:TBL2"/>
    <mergeCell ref="TBM2:TBX2"/>
    <mergeCell ref="TBY2:TCJ2"/>
    <mergeCell ref="TCK2:TCV2"/>
    <mergeCell ref="TNY2:TOJ2"/>
    <mergeCell ref="TOK2:TOV2"/>
    <mergeCell ref="TOW2:TPH2"/>
    <mergeCell ref="TPI2:TPT2"/>
    <mergeCell ref="TPU2:TQF2"/>
    <mergeCell ref="TQG2:TQR2"/>
    <mergeCell ref="TLE2:TLP2"/>
    <mergeCell ref="TLQ2:TMB2"/>
    <mergeCell ref="TMC2:TMN2"/>
    <mergeCell ref="TMO2:TMZ2"/>
    <mergeCell ref="TNA2:TNL2"/>
    <mergeCell ref="TNM2:TNX2"/>
    <mergeCell ref="TIK2:TIV2"/>
    <mergeCell ref="TIW2:TJH2"/>
    <mergeCell ref="TJI2:TJT2"/>
    <mergeCell ref="TJU2:TKF2"/>
    <mergeCell ref="TKG2:TKR2"/>
    <mergeCell ref="TKS2:TLD2"/>
    <mergeCell ref="TWG2:TWR2"/>
    <mergeCell ref="TWS2:TXD2"/>
    <mergeCell ref="TXE2:TXP2"/>
    <mergeCell ref="TXQ2:TYB2"/>
    <mergeCell ref="TYC2:TYN2"/>
    <mergeCell ref="TYO2:TYZ2"/>
    <mergeCell ref="TTM2:TTX2"/>
    <mergeCell ref="TTY2:TUJ2"/>
    <mergeCell ref="TUK2:TUV2"/>
    <mergeCell ref="TUW2:TVH2"/>
    <mergeCell ref="TVI2:TVT2"/>
    <mergeCell ref="TVU2:TWF2"/>
    <mergeCell ref="TQS2:TRD2"/>
    <mergeCell ref="TRE2:TRP2"/>
    <mergeCell ref="TRQ2:TSB2"/>
    <mergeCell ref="TSC2:TSN2"/>
    <mergeCell ref="TSO2:TSZ2"/>
    <mergeCell ref="TTA2:TTL2"/>
    <mergeCell ref="UEO2:UEZ2"/>
    <mergeCell ref="UFA2:UFL2"/>
    <mergeCell ref="UFM2:UFX2"/>
    <mergeCell ref="UFY2:UGJ2"/>
    <mergeCell ref="UGK2:UGV2"/>
    <mergeCell ref="UGW2:UHH2"/>
    <mergeCell ref="UBU2:UCF2"/>
    <mergeCell ref="UCG2:UCR2"/>
    <mergeCell ref="UCS2:UDD2"/>
    <mergeCell ref="UDE2:UDP2"/>
    <mergeCell ref="UDQ2:UEB2"/>
    <mergeCell ref="UEC2:UEN2"/>
    <mergeCell ref="TZA2:TZL2"/>
    <mergeCell ref="TZM2:TZX2"/>
    <mergeCell ref="TZY2:UAJ2"/>
    <mergeCell ref="UAK2:UAV2"/>
    <mergeCell ref="UAW2:UBH2"/>
    <mergeCell ref="UBI2:UBT2"/>
    <mergeCell ref="UMW2:UNH2"/>
    <mergeCell ref="UNI2:UNT2"/>
    <mergeCell ref="UNU2:UOF2"/>
    <mergeCell ref="UOG2:UOR2"/>
    <mergeCell ref="UOS2:UPD2"/>
    <mergeCell ref="UPE2:UPP2"/>
    <mergeCell ref="UKC2:UKN2"/>
    <mergeCell ref="UKO2:UKZ2"/>
    <mergeCell ref="ULA2:ULL2"/>
    <mergeCell ref="ULM2:ULX2"/>
    <mergeCell ref="ULY2:UMJ2"/>
    <mergeCell ref="UMK2:UMV2"/>
    <mergeCell ref="UHI2:UHT2"/>
    <mergeCell ref="UHU2:UIF2"/>
    <mergeCell ref="UIG2:UIR2"/>
    <mergeCell ref="UIS2:UJD2"/>
    <mergeCell ref="UJE2:UJP2"/>
    <mergeCell ref="UJQ2:UKB2"/>
    <mergeCell ref="UVE2:UVP2"/>
    <mergeCell ref="UVQ2:UWB2"/>
    <mergeCell ref="UWC2:UWN2"/>
    <mergeCell ref="UWO2:UWZ2"/>
    <mergeCell ref="UXA2:UXL2"/>
    <mergeCell ref="UXM2:UXX2"/>
    <mergeCell ref="USK2:USV2"/>
    <mergeCell ref="USW2:UTH2"/>
    <mergeCell ref="UTI2:UTT2"/>
    <mergeCell ref="UTU2:UUF2"/>
    <mergeCell ref="UUG2:UUR2"/>
    <mergeCell ref="UUS2:UVD2"/>
    <mergeCell ref="UPQ2:UQB2"/>
    <mergeCell ref="UQC2:UQN2"/>
    <mergeCell ref="UQO2:UQZ2"/>
    <mergeCell ref="URA2:URL2"/>
    <mergeCell ref="URM2:URX2"/>
    <mergeCell ref="URY2:USJ2"/>
    <mergeCell ref="VDM2:VDX2"/>
    <mergeCell ref="VDY2:VEJ2"/>
    <mergeCell ref="VEK2:VEV2"/>
    <mergeCell ref="VEW2:VFH2"/>
    <mergeCell ref="VFI2:VFT2"/>
    <mergeCell ref="VFU2:VGF2"/>
    <mergeCell ref="VAS2:VBD2"/>
    <mergeCell ref="VBE2:VBP2"/>
    <mergeCell ref="VBQ2:VCB2"/>
    <mergeCell ref="VCC2:VCN2"/>
    <mergeCell ref="VCO2:VCZ2"/>
    <mergeCell ref="VDA2:VDL2"/>
    <mergeCell ref="UXY2:UYJ2"/>
    <mergeCell ref="UYK2:UYV2"/>
    <mergeCell ref="UYW2:UZH2"/>
    <mergeCell ref="UZI2:UZT2"/>
    <mergeCell ref="UZU2:VAF2"/>
    <mergeCell ref="VAG2:VAR2"/>
    <mergeCell ref="VLU2:VMF2"/>
    <mergeCell ref="VMG2:VMR2"/>
    <mergeCell ref="VMS2:VND2"/>
    <mergeCell ref="VNE2:VNP2"/>
    <mergeCell ref="VNQ2:VOB2"/>
    <mergeCell ref="VOC2:VON2"/>
    <mergeCell ref="VJA2:VJL2"/>
    <mergeCell ref="VJM2:VJX2"/>
    <mergeCell ref="VJY2:VKJ2"/>
    <mergeCell ref="VKK2:VKV2"/>
    <mergeCell ref="VKW2:VLH2"/>
    <mergeCell ref="VLI2:VLT2"/>
    <mergeCell ref="VGG2:VGR2"/>
    <mergeCell ref="VGS2:VHD2"/>
    <mergeCell ref="VHE2:VHP2"/>
    <mergeCell ref="VHQ2:VIB2"/>
    <mergeCell ref="VIC2:VIN2"/>
    <mergeCell ref="VIO2:VIZ2"/>
    <mergeCell ref="VUC2:VUN2"/>
    <mergeCell ref="VUO2:VUZ2"/>
    <mergeCell ref="VVA2:VVL2"/>
    <mergeCell ref="VVM2:VVX2"/>
    <mergeCell ref="VVY2:VWJ2"/>
    <mergeCell ref="VWK2:VWV2"/>
    <mergeCell ref="VRI2:VRT2"/>
    <mergeCell ref="VRU2:VSF2"/>
    <mergeCell ref="VSG2:VSR2"/>
    <mergeCell ref="VSS2:VTD2"/>
    <mergeCell ref="VTE2:VTP2"/>
    <mergeCell ref="VTQ2:VUB2"/>
    <mergeCell ref="VOO2:VOZ2"/>
    <mergeCell ref="VPA2:VPL2"/>
    <mergeCell ref="VPM2:VPX2"/>
    <mergeCell ref="VPY2:VQJ2"/>
    <mergeCell ref="VQK2:VQV2"/>
    <mergeCell ref="VQW2:VRH2"/>
    <mergeCell ref="WCK2:WCV2"/>
    <mergeCell ref="WCW2:WDH2"/>
    <mergeCell ref="WDI2:WDT2"/>
    <mergeCell ref="WDU2:WEF2"/>
    <mergeCell ref="WEG2:WER2"/>
    <mergeCell ref="WES2:WFD2"/>
    <mergeCell ref="VZQ2:WAB2"/>
    <mergeCell ref="WAC2:WAN2"/>
    <mergeCell ref="WAO2:WAZ2"/>
    <mergeCell ref="WBA2:WBL2"/>
    <mergeCell ref="WBM2:WBX2"/>
    <mergeCell ref="WBY2:WCJ2"/>
    <mergeCell ref="VWW2:VXH2"/>
    <mergeCell ref="VXI2:VXT2"/>
    <mergeCell ref="VXU2:VYF2"/>
    <mergeCell ref="VYG2:VYR2"/>
    <mergeCell ref="VYS2:VZD2"/>
    <mergeCell ref="VZE2:VZP2"/>
    <mergeCell ref="WKS2:WLD2"/>
    <mergeCell ref="WLE2:WLP2"/>
    <mergeCell ref="WLQ2:WMB2"/>
    <mergeCell ref="WMC2:WMN2"/>
    <mergeCell ref="WMO2:WMZ2"/>
    <mergeCell ref="WNA2:WNL2"/>
    <mergeCell ref="WHY2:WIJ2"/>
    <mergeCell ref="WIK2:WIV2"/>
    <mergeCell ref="WIW2:WJH2"/>
    <mergeCell ref="WJI2:WJT2"/>
    <mergeCell ref="WJU2:WKF2"/>
    <mergeCell ref="WKG2:WKR2"/>
    <mergeCell ref="WFE2:WFP2"/>
    <mergeCell ref="WFQ2:WGB2"/>
    <mergeCell ref="WGC2:WGN2"/>
    <mergeCell ref="WGO2:WGZ2"/>
    <mergeCell ref="WHA2:WHL2"/>
    <mergeCell ref="WHM2:WHX2"/>
    <mergeCell ref="WXQ2:WYB2"/>
    <mergeCell ref="WYC2:WYN2"/>
    <mergeCell ref="WTA2:WTL2"/>
    <mergeCell ref="WTM2:WTX2"/>
    <mergeCell ref="WTY2:WUJ2"/>
    <mergeCell ref="WUK2:WUV2"/>
    <mergeCell ref="WUW2:WVH2"/>
    <mergeCell ref="WVI2:WVT2"/>
    <mergeCell ref="WQG2:WQR2"/>
    <mergeCell ref="WQS2:WRD2"/>
    <mergeCell ref="WRE2:WRP2"/>
    <mergeCell ref="WRQ2:WSB2"/>
    <mergeCell ref="WSC2:WSN2"/>
    <mergeCell ref="WSO2:WSZ2"/>
    <mergeCell ref="WNM2:WNX2"/>
    <mergeCell ref="WNY2:WOJ2"/>
    <mergeCell ref="WOK2:WOV2"/>
    <mergeCell ref="WOW2:WPH2"/>
    <mergeCell ref="WPI2:WPT2"/>
    <mergeCell ref="WPU2:WQF2"/>
    <mergeCell ref="XEC2:XEN2"/>
    <mergeCell ref="XEO2:XEZ2"/>
    <mergeCell ref="XFA2:XFD2"/>
    <mergeCell ref="A3:L3"/>
    <mergeCell ref="M3:X3"/>
    <mergeCell ref="Y3:AJ3"/>
    <mergeCell ref="AK3:AV3"/>
    <mergeCell ref="AW3:BH3"/>
    <mergeCell ref="BI3:BT3"/>
    <mergeCell ref="BU3:CF3"/>
    <mergeCell ref="XBI2:XBT2"/>
    <mergeCell ref="XBU2:XCF2"/>
    <mergeCell ref="XCG2:XCR2"/>
    <mergeCell ref="XCS2:XDD2"/>
    <mergeCell ref="XDE2:XDP2"/>
    <mergeCell ref="XDQ2:XEB2"/>
    <mergeCell ref="WYO2:WYZ2"/>
    <mergeCell ref="WZA2:WZL2"/>
    <mergeCell ref="WZM2:WZX2"/>
    <mergeCell ref="WZY2:XAJ2"/>
    <mergeCell ref="XAK2:XAV2"/>
    <mergeCell ref="XAW2:XBH2"/>
    <mergeCell ref="WVU2:WWF2"/>
    <mergeCell ref="WWG2:WWR2"/>
    <mergeCell ref="WWS2:WXD2"/>
    <mergeCell ref="WXE2:WXP2"/>
    <mergeCell ref="KO3:KZ3"/>
    <mergeCell ref="LA3:LL3"/>
    <mergeCell ref="LM3:LX3"/>
    <mergeCell ref="LY3:MJ3"/>
    <mergeCell ref="MK3:MV3"/>
    <mergeCell ref="MW3:NH3"/>
    <mergeCell ref="HU3:IF3"/>
    <mergeCell ref="IG3:IR3"/>
    <mergeCell ref="IS3:JD3"/>
    <mergeCell ref="JE3:JP3"/>
    <mergeCell ref="JQ3:KB3"/>
    <mergeCell ref="KC3:KN3"/>
    <mergeCell ref="FA3:FL3"/>
    <mergeCell ref="FM3:FX3"/>
    <mergeCell ref="FY3:GJ3"/>
    <mergeCell ref="GK3:GV3"/>
    <mergeCell ref="GW3:HH3"/>
    <mergeCell ref="HI3:HT3"/>
    <mergeCell ref="SW3:TH3"/>
    <mergeCell ref="TI3:TT3"/>
    <mergeCell ref="TU3:UF3"/>
    <mergeCell ref="UG3:UR3"/>
    <mergeCell ref="US3:VD3"/>
    <mergeCell ref="VE3:VP3"/>
    <mergeCell ref="QC3:QN3"/>
    <mergeCell ref="QO3:QZ3"/>
    <mergeCell ref="RA3:RL3"/>
    <mergeCell ref="RM3:RX3"/>
    <mergeCell ref="RY3:SJ3"/>
    <mergeCell ref="SK3:SV3"/>
    <mergeCell ref="NI3:NT3"/>
    <mergeCell ref="NU3:OF3"/>
    <mergeCell ref="OG3:OR3"/>
    <mergeCell ref="OS3:PD3"/>
    <mergeCell ref="PE3:PP3"/>
    <mergeCell ref="PQ3:QB3"/>
    <mergeCell ref="ABE3:ABP3"/>
    <mergeCell ref="ABQ3:ACB3"/>
    <mergeCell ref="ACC3:ACN3"/>
    <mergeCell ref="ACO3:ACZ3"/>
    <mergeCell ref="ADA3:ADL3"/>
    <mergeCell ref="ADM3:ADX3"/>
    <mergeCell ref="YK3:YV3"/>
    <mergeCell ref="YW3:ZH3"/>
    <mergeCell ref="ZI3:ZT3"/>
    <mergeCell ref="ZU3:AAF3"/>
    <mergeCell ref="AAG3:AAR3"/>
    <mergeCell ref="AAS3:ABD3"/>
    <mergeCell ref="VQ3:WB3"/>
    <mergeCell ref="WC3:WN3"/>
    <mergeCell ref="WO3:WZ3"/>
    <mergeCell ref="XA3:XL3"/>
    <mergeCell ref="XM3:XX3"/>
    <mergeCell ref="XY3:YJ3"/>
    <mergeCell ref="AJM3:AJX3"/>
    <mergeCell ref="AJY3:AKJ3"/>
    <mergeCell ref="AKK3:AKV3"/>
    <mergeCell ref="AKW3:ALH3"/>
    <mergeCell ref="ALI3:ALT3"/>
    <mergeCell ref="ALU3:AMF3"/>
    <mergeCell ref="AGS3:AHD3"/>
    <mergeCell ref="AHE3:AHP3"/>
    <mergeCell ref="AHQ3:AIB3"/>
    <mergeCell ref="AIC3:AIN3"/>
    <mergeCell ref="AIO3:AIZ3"/>
    <mergeCell ref="AJA3:AJL3"/>
    <mergeCell ref="ADY3:AEJ3"/>
    <mergeCell ref="AEK3:AEV3"/>
    <mergeCell ref="AEW3:AFH3"/>
    <mergeCell ref="AFI3:AFT3"/>
    <mergeCell ref="AFU3:AGF3"/>
    <mergeCell ref="AGG3:AGR3"/>
    <mergeCell ref="ARU3:ASF3"/>
    <mergeCell ref="ASG3:ASR3"/>
    <mergeCell ref="ASS3:ATD3"/>
    <mergeCell ref="ATE3:ATP3"/>
    <mergeCell ref="ATQ3:AUB3"/>
    <mergeCell ref="AUC3:AUN3"/>
    <mergeCell ref="APA3:APL3"/>
    <mergeCell ref="APM3:APX3"/>
    <mergeCell ref="APY3:AQJ3"/>
    <mergeCell ref="AQK3:AQV3"/>
    <mergeCell ref="AQW3:ARH3"/>
    <mergeCell ref="ARI3:ART3"/>
    <mergeCell ref="AMG3:AMR3"/>
    <mergeCell ref="AMS3:AND3"/>
    <mergeCell ref="ANE3:ANP3"/>
    <mergeCell ref="ANQ3:AOB3"/>
    <mergeCell ref="AOC3:AON3"/>
    <mergeCell ref="AOO3:AOZ3"/>
    <mergeCell ref="BAC3:BAN3"/>
    <mergeCell ref="BAO3:BAZ3"/>
    <mergeCell ref="BBA3:BBL3"/>
    <mergeCell ref="BBM3:BBX3"/>
    <mergeCell ref="BBY3:BCJ3"/>
    <mergeCell ref="BCK3:BCV3"/>
    <mergeCell ref="AXI3:AXT3"/>
    <mergeCell ref="AXU3:AYF3"/>
    <mergeCell ref="AYG3:AYR3"/>
    <mergeCell ref="AYS3:AZD3"/>
    <mergeCell ref="AZE3:AZP3"/>
    <mergeCell ref="AZQ3:BAB3"/>
    <mergeCell ref="AUO3:AUZ3"/>
    <mergeCell ref="AVA3:AVL3"/>
    <mergeCell ref="AVM3:AVX3"/>
    <mergeCell ref="AVY3:AWJ3"/>
    <mergeCell ref="AWK3:AWV3"/>
    <mergeCell ref="AWW3:AXH3"/>
    <mergeCell ref="BIK3:BIV3"/>
    <mergeCell ref="BIW3:BJH3"/>
    <mergeCell ref="BJI3:BJT3"/>
    <mergeCell ref="BJU3:BKF3"/>
    <mergeCell ref="BKG3:BKR3"/>
    <mergeCell ref="BKS3:BLD3"/>
    <mergeCell ref="BFQ3:BGB3"/>
    <mergeCell ref="BGC3:BGN3"/>
    <mergeCell ref="BGO3:BGZ3"/>
    <mergeCell ref="BHA3:BHL3"/>
    <mergeCell ref="BHM3:BHX3"/>
    <mergeCell ref="BHY3:BIJ3"/>
    <mergeCell ref="BCW3:BDH3"/>
    <mergeCell ref="BDI3:BDT3"/>
    <mergeCell ref="BDU3:BEF3"/>
    <mergeCell ref="BEG3:BER3"/>
    <mergeCell ref="BES3:BFD3"/>
    <mergeCell ref="BFE3:BFP3"/>
    <mergeCell ref="BQS3:BRD3"/>
    <mergeCell ref="BRE3:BRP3"/>
    <mergeCell ref="BRQ3:BSB3"/>
    <mergeCell ref="BSC3:BSN3"/>
    <mergeCell ref="BSO3:BSZ3"/>
    <mergeCell ref="BTA3:BTL3"/>
    <mergeCell ref="BNY3:BOJ3"/>
    <mergeCell ref="BOK3:BOV3"/>
    <mergeCell ref="BOW3:BPH3"/>
    <mergeCell ref="BPI3:BPT3"/>
    <mergeCell ref="BPU3:BQF3"/>
    <mergeCell ref="BQG3:BQR3"/>
    <mergeCell ref="BLE3:BLP3"/>
    <mergeCell ref="BLQ3:BMB3"/>
    <mergeCell ref="BMC3:BMN3"/>
    <mergeCell ref="BMO3:BMZ3"/>
    <mergeCell ref="BNA3:BNL3"/>
    <mergeCell ref="BNM3:BNX3"/>
    <mergeCell ref="BZA3:BZL3"/>
    <mergeCell ref="BZM3:BZX3"/>
    <mergeCell ref="BZY3:CAJ3"/>
    <mergeCell ref="CAK3:CAV3"/>
    <mergeCell ref="CAW3:CBH3"/>
    <mergeCell ref="CBI3:CBT3"/>
    <mergeCell ref="BWG3:BWR3"/>
    <mergeCell ref="BWS3:BXD3"/>
    <mergeCell ref="BXE3:BXP3"/>
    <mergeCell ref="BXQ3:BYB3"/>
    <mergeCell ref="BYC3:BYN3"/>
    <mergeCell ref="BYO3:BYZ3"/>
    <mergeCell ref="BTM3:BTX3"/>
    <mergeCell ref="BTY3:BUJ3"/>
    <mergeCell ref="BUK3:BUV3"/>
    <mergeCell ref="BUW3:BVH3"/>
    <mergeCell ref="BVI3:BVT3"/>
    <mergeCell ref="BVU3:BWF3"/>
    <mergeCell ref="CHI3:CHT3"/>
    <mergeCell ref="CHU3:CIF3"/>
    <mergeCell ref="CIG3:CIR3"/>
    <mergeCell ref="CIS3:CJD3"/>
    <mergeCell ref="CJE3:CJP3"/>
    <mergeCell ref="CJQ3:CKB3"/>
    <mergeCell ref="CEO3:CEZ3"/>
    <mergeCell ref="CFA3:CFL3"/>
    <mergeCell ref="CFM3:CFX3"/>
    <mergeCell ref="CFY3:CGJ3"/>
    <mergeCell ref="CGK3:CGV3"/>
    <mergeCell ref="CGW3:CHH3"/>
    <mergeCell ref="CBU3:CCF3"/>
    <mergeCell ref="CCG3:CCR3"/>
    <mergeCell ref="CCS3:CDD3"/>
    <mergeCell ref="CDE3:CDP3"/>
    <mergeCell ref="CDQ3:CEB3"/>
    <mergeCell ref="CEC3:CEN3"/>
    <mergeCell ref="CPQ3:CQB3"/>
    <mergeCell ref="CQC3:CQN3"/>
    <mergeCell ref="CQO3:CQZ3"/>
    <mergeCell ref="CRA3:CRL3"/>
    <mergeCell ref="CRM3:CRX3"/>
    <mergeCell ref="CRY3:CSJ3"/>
    <mergeCell ref="CMW3:CNH3"/>
    <mergeCell ref="CNI3:CNT3"/>
    <mergeCell ref="CNU3:COF3"/>
    <mergeCell ref="COG3:COR3"/>
    <mergeCell ref="COS3:CPD3"/>
    <mergeCell ref="CPE3:CPP3"/>
    <mergeCell ref="CKC3:CKN3"/>
    <mergeCell ref="CKO3:CKZ3"/>
    <mergeCell ref="CLA3:CLL3"/>
    <mergeCell ref="CLM3:CLX3"/>
    <mergeCell ref="CLY3:CMJ3"/>
    <mergeCell ref="CMK3:CMV3"/>
    <mergeCell ref="CXY3:CYJ3"/>
    <mergeCell ref="CYK3:CYV3"/>
    <mergeCell ref="CYW3:CZH3"/>
    <mergeCell ref="CZI3:CZT3"/>
    <mergeCell ref="CZU3:DAF3"/>
    <mergeCell ref="DAG3:DAR3"/>
    <mergeCell ref="CVE3:CVP3"/>
    <mergeCell ref="CVQ3:CWB3"/>
    <mergeCell ref="CWC3:CWN3"/>
    <mergeCell ref="CWO3:CWZ3"/>
    <mergeCell ref="CXA3:CXL3"/>
    <mergeCell ref="CXM3:CXX3"/>
    <mergeCell ref="CSK3:CSV3"/>
    <mergeCell ref="CSW3:CTH3"/>
    <mergeCell ref="CTI3:CTT3"/>
    <mergeCell ref="CTU3:CUF3"/>
    <mergeCell ref="CUG3:CUR3"/>
    <mergeCell ref="CUS3:CVD3"/>
    <mergeCell ref="DGG3:DGR3"/>
    <mergeCell ref="DGS3:DHD3"/>
    <mergeCell ref="DHE3:DHP3"/>
    <mergeCell ref="DHQ3:DIB3"/>
    <mergeCell ref="DIC3:DIN3"/>
    <mergeCell ref="DIO3:DIZ3"/>
    <mergeCell ref="DDM3:DDX3"/>
    <mergeCell ref="DDY3:DEJ3"/>
    <mergeCell ref="DEK3:DEV3"/>
    <mergeCell ref="DEW3:DFH3"/>
    <mergeCell ref="DFI3:DFT3"/>
    <mergeCell ref="DFU3:DGF3"/>
    <mergeCell ref="DAS3:DBD3"/>
    <mergeCell ref="DBE3:DBP3"/>
    <mergeCell ref="DBQ3:DCB3"/>
    <mergeCell ref="DCC3:DCN3"/>
    <mergeCell ref="DCO3:DCZ3"/>
    <mergeCell ref="DDA3:DDL3"/>
    <mergeCell ref="DOO3:DOZ3"/>
    <mergeCell ref="DPA3:DPL3"/>
    <mergeCell ref="DPM3:DPX3"/>
    <mergeCell ref="DPY3:DQJ3"/>
    <mergeCell ref="DQK3:DQV3"/>
    <mergeCell ref="DQW3:DRH3"/>
    <mergeCell ref="DLU3:DMF3"/>
    <mergeCell ref="DMG3:DMR3"/>
    <mergeCell ref="DMS3:DND3"/>
    <mergeCell ref="DNE3:DNP3"/>
    <mergeCell ref="DNQ3:DOB3"/>
    <mergeCell ref="DOC3:DON3"/>
    <mergeCell ref="DJA3:DJL3"/>
    <mergeCell ref="DJM3:DJX3"/>
    <mergeCell ref="DJY3:DKJ3"/>
    <mergeCell ref="DKK3:DKV3"/>
    <mergeCell ref="DKW3:DLH3"/>
    <mergeCell ref="DLI3:DLT3"/>
    <mergeCell ref="DWW3:DXH3"/>
    <mergeCell ref="DXI3:DXT3"/>
    <mergeCell ref="DXU3:DYF3"/>
    <mergeCell ref="DYG3:DYR3"/>
    <mergeCell ref="DYS3:DZD3"/>
    <mergeCell ref="DZE3:DZP3"/>
    <mergeCell ref="DUC3:DUN3"/>
    <mergeCell ref="DUO3:DUZ3"/>
    <mergeCell ref="DVA3:DVL3"/>
    <mergeCell ref="DVM3:DVX3"/>
    <mergeCell ref="DVY3:DWJ3"/>
    <mergeCell ref="DWK3:DWV3"/>
    <mergeCell ref="DRI3:DRT3"/>
    <mergeCell ref="DRU3:DSF3"/>
    <mergeCell ref="DSG3:DSR3"/>
    <mergeCell ref="DSS3:DTD3"/>
    <mergeCell ref="DTE3:DTP3"/>
    <mergeCell ref="DTQ3:DUB3"/>
    <mergeCell ref="EFE3:EFP3"/>
    <mergeCell ref="EFQ3:EGB3"/>
    <mergeCell ref="EGC3:EGN3"/>
    <mergeCell ref="EGO3:EGZ3"/>
    <mergeCell ref="EHA3:EHL3"/>
    <mergeCell ref="EHM3:EHX3"/>
    <mergeCell ref="ECK3:ECV3"/>
    <mergeCell ref="ECW3:EDH3"/>
    <mergeCell ref="EDI3:EDT3"/>
    <mergeCell ref="EDU3:EEF3"/>
    <mergeCell ref="EEG3:EER3"/>
    <mergeCell ref="EES3:EFD3"/>
    <mergeCell ref="DZQ3:EAB3"/>
    <mergeCell ref="EAC3:EAN3"/>
    <mergeCell ref="EAO3:EAZ3"/>
    <mergeCell ref="EBA3:EBL3"/>
    <mergeCell ref="EBM3:EBX3"/>
    <mergeCell ref="EBY3:ECJ3"/>
    <mergeCell ref="ENM3:ENX3"/>
    <mergeCell ref="ENY3:EOJ3"/>
    <mergeCell ref="EOK3:EOV3"/>
    <mergeCell ref="EOW3:EPH3"/>
    <mergeCell ref="EPI3:EPT3"/>
    <mergeCell ref="EPU3:EQF3"/>
    <mergeCell ref="EKS3:ELD3"/>
    <mergeCell ref="ELE3:ELP3"/>
    <mergeCell ref="ELQ3:EMB3"/>
    <mergeCell ref="EMC3:EMN3"/>
    <mergeCell ref="EMO3:EMZ3"/>
    <mergeCell ref="ENA3:ENL3"/>
    <mergeCell ref="EHY3:EIJ3"/>
    <mergeCell ref="EIK3:EIV3"/>
    <mergeCell ref="EIW3:EJH3"/>
    <mergeCell ref="EJI3:EJT3"/>
    <mergeCell ref="EJU3:EKF3"/>
    <mergeCell ref="EKG3:EKR3"/>
    <mergeCell ref="EVU3:EWF3"/>
    <mergeCell ref="EWG3:EWR3"/>
    <mergeCell ref="EWS3:EXD3"/>
    <mergeCell ref="EXE3:EXP3"/>
    <mergeCell ref="EXQ3:EYB3"/>
    <mergeCell ref="EYC3:EYN3"/>
    <mergeCell ref="ETA3:ETL3"/>
    <mergeCell ref="ETM3:ETX3"/>
    <mergeCell ref="ETY3:EUJ3"/>
    <mergeCell ref="EUK3:EUV3"/>
    <mergeCell ref="EUW3:EVH3"/>
    <mergeCell ref="EVI3:EVT3"/>
    <mergeCell ref="EQG3:EQR3"/>
    <mergeCell ref="EQS3:ERD3"/>
    <mergeCell ref="ERE3:ERP3"/>
    <mergeCell ref="ERQ3:ESB3"/>
    <mergeCell ref="ESC3:ESN3"/>
    <mergeCell ref="ESO3:ESZ3"/>
    <mergeCell ref="FEC3:FEN3"/>
    <mergeCell ref="FEO3:FEZ3"/>
    <mergeCell ref="FFA3:FFL3"/>
    <mergeCell ref="FFM3:FFX3"/>
    <mergeCell ref="FFY3:FGJ3"/>
    <mergeCell ref="FGK3:FGV3"/>
    <mergeCell ref="FBI3:FBT3"/>
    <mergeCell ref="FBU3:FCF3"/>
    <mergeCell ref="FCG3:FCR3"/>
    <mergeCell ref="FCS3:FDD3"/>
    <mergeCell ref="FDE3:FDP3"/>
    <mergeCell ref="FDQ3:FEB3"/>
    <mergeCell ref="EYO3:EYZ3"/>
    <mergeCell ref="EZA3:EZL3"/>
    <mergeCell ref="EZM3:EZX3"/>
    <mergeCell ref="EZY3:FAJ3"/>
    <mergeCell ref="FAK3:FAV3"/>
    <mergeCell ref="FAW3:FBH3"/>
    <mergeCell ref="FMK3:FMV3"/>
    <mergeCell ref="FMW3:FNH3"/>
    <mergeCell ref="FNI3:FNT3"/>
    <mergeCell ref="FNU3:FOF3"/>
    <mergeCell ref="FOG3:FOR3"/>
    <mergeCell ref="FOS3:FPD3"/>
    <mergeCell ref="FJQ3:FKB3"/>
    <mergeCell ref="FKC3:FKN3"/>
    <mergeCell ref="FKO3:FKZ3"/>
    <mergeCell ref="FLA3:FLL3"/>
    <mergeCell ref="FLM3:FLX3"/>
    <mergeCell ref="FLY3:FMJ3"/>
    <mergeCell ref="FGW3:FHH3"/>
    <mergeCell ref="FHI3:FHT3"/>
    <mergeCell ref="FHU3:FIF3"/>
    <mergeCell ref="FIG3:FIR3"/>
    <mergeCell ref="FIS3:FJD3"/>
    <mergeCell ref="FJE3:FJP3"/>
    <mergeCell ref="FUS3:FVD3"/>
    <mergeCell ref="FVE3:FVP3"/>
    <mergeCell ref="FVQ3:FWB3"/>
    <mergeCell ref="FWC3:FWN3"/>
    <mergeCell ref="FWO3:FWZ3"/>
    <mergeCell ref="FXA3:FXL3"/>
    <mergeCell ref="FRY3:FSJ3"/>
    <mergeCell ref="FSK3:FSV3"/>
    <mergeCell ref="FSW3:FTH3"/>
    <mergeCell ref="FTI3:FTT3"/>
    <mergeCell ref="FTU3:FUF3"/>
    <mergeCell ref="FUG3:FUR3"/>
    <mergeCell ref="FPE3:FPP3"/>
    <mergeCell ref="FPQ3:FQB3"/>
    <mergeCell ref="FQC3:FQN3"/>
    <mergeCell ref="FQO3:FQZ3"/>
    <mergeCell ref="FRA3:FRL3"/>
    <mergeCell ref="FRM3:FRX3"/>
    <mergeCell ref="GDA3:GDL3"/>
    <mergeCell ref="GDM3:GDX3"/>
    <mergeCell ref="GDY3:GEJ3"/>
    <mergeCell ref="GEK3:GEV3"/>
    <mergeCell ref="GEW3:GFH3"/>
    <mergeCell ref="GFI3:GFT3"/>
    <mergeCell ref="GAG3:GAR3"/>
    <mergeCell ref="GAS3:GBD3"/>
    <mergeCell ref="GBE3:GBP3"/>
    <mergeCell ref="GBQ3:GCB3"/>
    <mergeCell ref="GCC3:GCN3"/>
    <mergeCell ref="GCO3:GCZ3"/>
    <mergeCell ref="FXM3:FXX3"/>
    <mergeCell ref="FXY3:FYJ3"/>
    <mergeCell ref="FYK3:FYV3"/>
    <mergeCell ref="FYW3:FZH3"/>
    <mergeCell ref="FZI3:FZT3"/>
    <mergeCell ref="FZU3:GAF3"/>
    <mergeCell ref="GLI3:GLT3"/>
    <mergeCell ref="GLU3:GMF3"/>
    <mergeCell ref="GMG3:GMR3"/>
    <mergeCell ref="GMS3:GND3"/>
    <mergeCell ref="GNE3:GNP3"/>
    <mergeCell ref="GNQ3:GOB3"/>
    <mergeCell ref="GIO3:GIZ3"/>
    <mergeCell ref="GJA3:GJL3"/>
    <mergeCell ref="GJM3:GJX3"/>
    <mergeCell ref="GJY3:GKJ3"/>
    <mergeCell ref="GKK3:GKV3"/>
    <mergeCell ref="GKW3:GLH3"/>
    <mergeCell ref="GFU3:GGF3"/>
    <mergeCell ref="GGG3:GGR3"/>
    <mergeCell ref="GGS3:GHD3"/>
    <mergeCell ref="GHE3:GHP3"/>
    <mergeCell ref="GHQ3:GIB3"/>
    <mergeCell ref="GIC3:GIN3"/>
    <mergeCell ref="GTQ3:GUB3"/>
    <mergeCell ref="GUC3:GUN3"/>
    <mergeCell ref="GUO3:GUZ3"/>
    <mergeCell ref="GVA3:GVL3"/>
    <mergeCell ref="GVM3:GVX3"/>
    <mergeCell ref="GVY3:GWJ3"/>
    <mergeCell ref="GQW3:GRH3"/>
    <mergeCell ref="GRI3:GRT3"/>
    <mergeCell ref="GRU3:GSF3"/>
    <mergeCell ref="GSG3:GSR3"/>
    <mergeCell ref="GSS3:GTD3"/>
    <mergeCell ref="GTE3:GTP3"/>
    <mergeCell ref="GOC3:GON3"/>
    <mergeCell ref="GOO3:GOZ3"/>
    <mergeCell ref="GPA3:GPL3"/>
    <mergeCell ref="GPM3:GPX3"/>
    <mergeCell ref="GPY3:GQJ3"/>
    <mergeCell ref="GQK3:GQV3"/>
    <mergeCell ref="HBY3:HCJ3"/>
    <mergeCell ref="HCK3:HCV3"/>
    <mergeCell ref="HCW3:HDH3"/>
    <mergeCell ref="HDI3:HDT3"/>
    <mergeCell ref="HDU3:HEF3"/>
    <mergeCell ref="HEG3:HER3"/>
    <mergeCell ref="GZE3:GZP3"/>
    <mergeCell ref="GZQ3:HAB3"/>
    <mergeCell ref="HAC3:HAN3"/>
    <mergeCell ref="HAO3:HAZ3"/>
    <mergeCell ref="HBA3:HBL3"/>
    <mergeCell ref="HBM3:HBX3"/>
    <mergeCell ref="GWK3:GWV3"/>
    <mergeCell ref="GWW3:GXH3"/>
    <mergeCell ref="GXI3:GXT3"/>
    <mergeCell ref="GXU3:GYF3"/>
    <mergeCell ref="GYG3:GYR3"/>
    <mergeCell ref="GYS3:GZD3"/>
    <mergeCell ref="HKG3:HKR3"/>
    <mergeCell ref="HKS3:HLD3"/>
    <mergeCell ref="HLE3:HLP3"/>
    <mergeCell ref="HLQ3:HMB3"/>
    <mergeCell ref="HMC3:HMN3"/>
    <mergeCell ref="HMO3:HMZ3"/>
    <mergeCell ref="HHM3:HHX3"/>
    <mergeCell ref="HHY3:HIJ3"/>
    <mergeCell ref="HIK3:HIV3"/>
    <mergeCell ref="HIW3:HJH3"/>
    <mergeCell ref="HJI3:HJT3"/>
    <mergeCell ref="HJU3:HKF3"/>
    <mergeCell ref="HES3:HFD3"/>
    <mergeCell ref="HFE3:HFP3"/>
    <mergeCell ref="HFQ3:HGB3"/>
    <mergeCell ref="HGC3:HGN3"/>
    <mergeCell ref="HGO3:HGZ3"/>
    <mergeCell ref="HHA3:HHL3"/>
    <mergeCell ref="HSO3:HSZ3"/>
    <mergeCell ref="HTA3:HTL3"/>
    <mergeCell ref="HTM3:HTX3"/>
    <mergeCell ref="HTY3:HUJ3"/>
    <mergeCell ref="HUK3:HUV3"/>
    <mergeCell ref="HUW3:HVH3"/>
    <mergeCell ref="HPU3:HQF3"/>
    <mergeCell ref="HQG3:HQR3"/>
    <mergeCell ref="HQS3:HRD3"/>
    <mergeCell ref="HRE3:HRP3"/>
    <mergeCell ref="HRQ3:HSB3"/>
    <mergeCell ref="HSC3:HSN3"/>
    <mergeCell ref="HNA3:HNL3"/>
    <mergeCell ref="HNM3:HNX3"/>
    <mergeCell ref="HNY3:HOJ3"/>
    <mergeCell ref="HOK3:HOV3"/>
    <mergeCell ref="HOW3:HPH3"/>
    <mergeCell ref="HPI3:HPT3"/>
    <mergeCell ref="IAW3:IBH3"/>
    <mergeCell ref="IBI3:IBT3"/>
    <mergeCell ref="IBU3:ICF3"/>
    <mergeCell ref="ICG3:ICR3"/>
    <mergeCell ref="ICS3:IDD3"/>
    <mergeCell ref="IDE3:IDP3"/>
    <mergeCell ref="HYC3:HYN3"/>
    <mergeCell ref="HYO3:HYZ3"/>
    <mergeCell ref="HZA3:HZL3"/>
    <mergeCell ref="HZM3:HZX3"/>
    <mergeCell ref="HZY3:IAJ3"/>
    <mergeCell ref="IAK3:IAV3"/>
    <mergeCell ref="HVI3:HVT3"/>
    <mergeCell ref="HVU3:HWF3"/>
    <mergeCell ref="HWG3:HWR3"/>
    <mergeCell ref="HWS3:HXD3"/>
    <mergeCell ref="HXE3:HXP3"/>
    <mergeCell ref="HXQ3:HYB3"/>
    <mergeCell ref="IJE3:IJP3"/>
    <mergeCell ref="IJQ3:IKB3"/>
    <mergeCell ref="IKC3:IKN3"/>
    <mergeCell ref="IKO3:IKZ3"/>
    <mergeCell ref="ILA3:ILL3"/>
    <mergeCell ref="ILM3:ILX3"/>
    <mergeCell ref="IGK3:IGV3"/>
    <mergeCell ref="IGW3:IHH3"/>
    <mergeCell ref="IHI3:IHT3"/>
    <mergeCell ref="IHU3:IIF3"/>
    <mergeCell ref="IIG3:IIR3"/>
    <mergeCell ref="IIS3:IJD3"/>
    <mergeCell ref="IDQ3:IEB3"/>
    <mergeCell ref="IEC3:IEN3"/>
    <mergeCell ref="IEO3:IEZ3"/>
    <mergeCell ref="IFA3:IFL3"/>
    <mergeCell ref="IFM3:IFX3"/>
    <mergeCell ref="IFY3:IGJ3"/>
    <mergeCell ref="IRM3:IRX3"/>
    <mergeCell ref="IRY3:ISJ3"/>
    <mergeCell ref="ISK3:ISV3"/>
    <mergeCell ref="ISW3:ITH3"/>
    <mergeCell ref="ITI3:ITT3"/>
    <mergeCell ref="ITU3:IUF3"/>
    <mergeCell ref="IOS3:IPD3"/>
    <mergeCell ref="IPE3:IPP3"/>
    <mergeCell ref="IPQ3:IQB3"/>
    <mergeCell ref="IQC3:IQN3"/>
    <mergeCell ref="IQO3:IQZ3"/>
    <mergeCell ref="IRA3:IRL3"/>
    <mergeCell ref="ILY3:IMJ3"/>
    <mergeCell ref="IMK3:IMV3"/>
    <mergeCell ref="IMW3:INH3"/>
    <mergeCell ref="INI3:INT3"/>
    <mergeCell ref="INU3:IOF3"/>
    <mergeCell ref="IOG3:IOR3"/>
    <mergeCell ref="IZU3:JAF3"/>
    <mergeCell ref="JAG3:JAR3"/>
    <mergeCell ref="JAS3:JBD3"/>
    <mergeCell ref="JBE3:JBP3"/>
    <mergeCell ref="JBQ3:JCB3"/>
    <mergeCell ref="JCC3:JCN3"/>
    <mergeCell ref="IXA3:IXL3"/>
    <mergeCell ref="IXM3:IXX3"/>
    <mergeCell ref="IXY3:IYJ3"/>
    <mergeCell ref="IYK3:IYV3"/>
    <mergeCell ref="IYW3:IZH3"/>
    <mergeCell ref="IZI3:IZT3"/>
    <mergeCell ref="IUG3:IUR3"/>
    <mergeCell ref="IUS3:IVD3"/>
    <mergeCell ref="IVE3:IVP3"/>
    <mergeCell ref="IVQ3:IWB3"/>
    <mergeCell ref="IWC3:IWN3"/>
    <mergeCell ref="IWO3:IWZ3"/>
    <mergeCell ref="JIC3:JIN3"/>
    <mergeCell ref="JIO3:JIZ3"/>
    <mergeCell ref="JJA3:JJL3"/>
    <mergeCell ref="JJM3:JJX3"/>
    <mergeCell ref="JJY3:JKJ3"/>
    <mergeCell ref="JKK3:JKV3"/>
    <mergeCell ref="JFI3:JFT3"/>
    <mergeCell ref="JFU3:JGF3"/>
    <mergeCell ref="JGG3:JGR3"/>
    <mergeCell ref="JGS3:JHD3"/>
    <mergeCell ref="JHE3:JHP3"/>
    <mergeCell ref="JHQ3:JIB3"/>
    <mergeCell ref="JCO3:JCZ3"/>
    <mergeCell ref="JDA3:JDL3"/>
    <mergeCell ref="JDM3:JDX3"/>
    <mergeCell ref="JDY3:JEJ3"/>
    <mergeCell ref="JEK3:JEV3"/>
    <mergeCell ref="JEW3:JFH3"/>
    <mergeCell ref="JQK3:JQV3"/>
    <mergeCell ref="JQW3:JRH3"/>
    <mergeCell ref="JRI3:JRT3"/>
    <mergeCell ref="JRU3:JSF3"/>
    <mergeCell ref="JSG3:JSR3"/>
    <mergeCell ref="JSS3:JTD3"/>
    <mergeCell ref="JNQ3:JOB3"/>
    <mergeCell ref="JOC3:JON3"/>
    <mergeCell ref="JOO3:JOZ3"/>
    <mergeCell ref="JPA3:JPL3"/>
    <mergeCell ref="JPM3:JPX3"/>
    <mergeCell ref="JPY3:JQJ3"/>
    <mergeCell ref="JKW3:JLH3"/>
    <mergeCell ref="JLI3:JLT3"/>
    <mergeCell ref="JLU3:JMF3"/>
    <mergeCell ref="JMG3:JMR3"/>
    <mergeCell ref="JMS3:JND3"/>
    <mergeCell ref="JNE3:JNP3"/>
    <mergeCell ref="JYS3:JZD3"/>
    <mergeCell ref="JZE3:JZP3"/>
    <mergeCell ref="JZQ3:KAB3"/>
    <mergeCell ref="KAC3:KAN3"/>
    <mergeCell ref="KAO3:KAZ3"/>
    <mergeCell ref="KBA3:KBL3"/>
    <mergeCell ref="JVY3:JWJ3"/>
    <mergeCell ref="JWK3:JWV3"/>
    <mergeCell ref="JWW3:JXH3"/>
    <mergeCell ref="JXI3:JXT3"/>
    <mergeCell ref="JXU3:JYF3"/>
    <mergeCell ref="JYG3:JYR3"/>
    <mergeCell ref="JTE3:JTP3"/>
    <mergeCell ref="JTQ3:JUB3"/>
    <mergeCell ref="JUC3:JUN3"/>
    <mergeCell ref="JUO3:JUZ3"/>
    <mergeCell ref="JVA3:JVL3"/>
    <mergeCell ref="JVM3:JVX3"/>
    <mergeCell ref="KHA3:KHL3"/>
    <mergeCell ref="KHM3:KHX3"/>
    <mergeCell ref="KHY3:KIJ3"/>
    <mergeCell ref="KIK3:KIV3"/>
    <mergeCell ref="KIW3:KJH3"/>
    <mergeCell ref="KJI3:KJT3"/>
    <mergeCell ref="KEG3:KER3"/>
    <mergeCell ref="KES3:KFD3"/>
    <mergeCell ref="KFE3:KFP3"/>
    <mergeCell ref="KFQ3:KGB3"/>
    <mergeCell ref="KGC3:KGN3"/>
    <mergeCell ref="KGO3:KGZ3"/>
    <mergeCell ref="KBM3:KBX3"/>
    <mergeCell ref="KBY3:KCJ3"/>
    <mergeCell ref="KCK3:KCV3"/>
    <mergeCell ref="KCW3:KDH3"/>
    <mergeCell ref="KDI3:KDT3"/>
    <mergeCell ref="KDU3:KEF3"/>
    <mergeCell ref="KPI3:KPT3"/>
    <mergeCell ref="KPU3:KQF3"/>
    <mergeCell ref="KQG3:KQR3"/>
    <mergeCell ref="KQS3:KRD3"/>
    <mergeCell ref="KRE3:KRP3"/>
    <mergeCell ref="KRQ3:KSB3"/>
    <mergeCell ref="KMO3:KMZ3"/>
    <mergeCell ref="KNA3:KNL3"/>
    <mergeCell ref="KNM3:KNX3"/>
    <mergeCell ref="KNY3:KOJ3"/>
    <mergeCell ref="KOK3:KOV3"/>
    <mergeCell ref="KOW3:KPH3"/>
    <mergeCell ref="KJU3:KKF3"/>
    <mergeCell ref="KKG3:KKR3"/>
    <mergeCell ref="KKS3:KLD3"/>
    <mergeCell ref="KLE3:KLP3"/>
    <mergeCell ref="KLQ3:KMB3"/>
    <mergeCell ref="KMC3:KMN3"/>
    <mergeCell ref="KXQ3:KYB3"/>
    <mergeCell ref="KYC3:KYN3"/>
    <mergeCell ref="KYO3:KYZ3"/>
    <mergeCell ref="KZA3:KZL3"/>
    <mergeCell ref="KZM3:KZX3"/>
    <mergeCell ref="KZY3:LAJ3"/>
    <mergeCell ref="KUW3:KVH3"/>
    <mergeCell ref="KVI3:KVT3"/>
    <mergeCell ref="KVU3:KWF3"/>
    <mergeCell ref="KWG3:KWR3"/>
    <mergeCell ref="KWS3:KXD3"/>
    <mergeCell ref="KXE3:KXP3"/>
    <mergeCell ref="KSC3:KSN3"/>
    <mergeCell ref="KSO3:KSZ3"/>
    <mergeCell ref="KTA3:KTL3"/>
    <mergeCell ref="KTM3:KTX3"/>
    <mergeCell ref="KTY3:KUJ3"/>
    <mergeCell ref="KUK3:KUV3"/>
    <mergeCell ref="LFY3:LGJ3"/>
    <mergeCell ref="LGK3:LGV3"/>
    <mergeCell ref="LGW3:LHH3"/>
    <mergeCell ref="LHI3:LHT3"/>
    <mergeCell ref="LHU3:LIF3"/>
    <mergeCell ref="LIG3:LIR3"/>
    <mergeCell ref="LDE3:LDP3"/>
    <mergeCell ref="LDQ3:LEB3"/>
    <mergeCell ref="LEC3:LEN3"/>
    <mergeCell ref="LEO3:LEZ3"/>
    <mergeCell ref="LFA3:LFL3"/>
    <mergeCell ref="LFM3:LFX3"/>
    <mergeCell ref="LAK3:LAV3"/>
    <mergeCell ref="LAW3:LBH3"/>
    <mergeCell ref="LBI3:LBT3"/>
    <mergeCell ref="LBU3:LCF3"/>
    <mergeCell ref="LCG3:LCR3"/>
    <mergeCell ref="LCS3:LDD3"/>
    <mergeCell ref="LOG3:LOR3"/>
    <mergeCell ref="LOS3:LPD3"/>
    <mergeCell ref="LPE3:LPP3"/>
    <mergeCell ref="LPQ3:LQB3"/>
    <mergeCell ref="LQC3:LQN3"/>
    <mergeCell ref="LQO3:LQZ3"/>
    <mergeCell ref="LLM3:LLX3"/>
    <mergeCell ref="LLY3:LMJ3"/>
    <mergeCell ref="LMK3:LMV3"/>
    <mergeCell ref="LMW3:LNH3"/>
    <mergeCell ref="LNI3:LNT3"/>
    <mergeCell ref="LNU3:LOF3"/>
    <mergeCell ref="LIS3:LJD3"/>
    <mergeCell ref="LJE3:LJP3"/>
    <mergeCell ref="LJQ3:LKB3"/>
    <mergeCell ref="LKC3:LKN3"/>
    <mergeCell ref="LKO3:LKZ3"/>
    <mergeCell ref="LLA3:LLL3"/>
    <mergeCell ref="LWO3:LWZ3"/>
    <mergeCell ref="LXA3:LXL3"/>
    <mergeCell ref="LXM3:LXX3"/>
    <mergeCell ref="LXY3:LYJ3"/>
    <mergeCell ref="LYK3:LYV3"/>
    <mergeCell ref="LYW3:LZH3"/>
    <mergeCell ref="LTU3:LUF3"/>
    <mergeCell ref="LUG3:LUR3"/>
    <mergeCell ref="LUS3:LVD3"/>
    <mergeCell ref="LVE3:LVP3"/>
    <mergeCell ref="LVQ3:LWB3"/>
    <mergeCell ref="LWC3:LWN3"/>
    <mergeCell ref="LRA3:LRL3"/>
    <mergeCell ref="LRM3:LRX3"/>
    <mergeCell ref="LRY3:LSJ3"/>
    <mergeCell ref="LSK3:LSV3"/>
    <mergeCell ref="LSW3:LTH3"/>
    <mergeCell ref="LTI3:LTT3"/>
    <mergeCell ref="MEW3:MFH3"/>
    <mergeCell ref="MFI3:MFT3"/>
    <mergeCell ref="MFU3:MGF3"/>
    <mergeCell ref="MGG3:MGR3"/>
    <mergeCell ref="MGS3:MHD3"/>
    <mergeCell ref="MHE3:MHP3"/>
    <mergeCell ref="MCC3:MCN3"/>
    <mergeCell ref="MCO3:MCZ3"/>
    <mergeCell ref="MDA3:MDL3"/>
    <mergeCell ref="MDM3:MDX3"/>
    <mergeCell ref="MDY3:MEJ3"/>
    <mergeCell ref="MEK3:MEV3"/>
    <mergeCell ref="LZI3:LZT3"/>
    <mergeCell ref="LZU3:MAF3"/>
    <mergeCell ref="MAG3:MAR3"/>
    <mergeCell ref="MAS3:MBD3"/>
    <mergeCell ref="MBE3:MBP3"/>
    <mergeCell ref="MBQ3:MCB3"/>
    <mergeCell ref="MNE3:MNP3"/>
    <mergeCell ref="MNQ3:MOB3"/>
    <mergeCell ref="MOC3:MON3"/>
    <mergeCell ref="MOO3:MOZ3"/>
    <mergeCell ref="MPA3:MPL3"/>
    <mergeCell ref="MPM3:MPX3"/>
    <mergeCell ref="MKK3:MKV3"/>
    <mergeCell ref="MKW3:MLH3"/>
    <mergeCell ref="MLI3:MLT3"/>
    <mergeCell ref="MLU3:MMF3"/>
    <mergeCell ref="MMG3:MMR3"/>
    <mergeCell ref="MMS3:MND3"/>
    <mergeCell ref="MHQ3:MIB3"/>
    <mergeCell ref="MIC3:MIN3"/>
    <mergeCell ref="MIO3:MIZ3"/>
    <mergeCell ref="MJA3:MJL3"/>
    <mergeCell ref="MJM3:MJX3"/>
    <mergeCell ref="MJY3:MKJ3"/>
    <mergeCell ref="MVM3:MVX3"/>
    <mergeCell ref="MVY3:MWJ3"/>
    <mergeCell ref="MWK3:MWV3"/>
    <mergeCell ref="MWW3:MXH3"/>
    <mergeCell ref="MXI3:MXT3"/>
    <mergeCell ref="MXU3:MYF3"/>
    <mergeCell ref="MSS3:MTD3"/>
    <mergeCell ref="MTE3:MTP3"/>
    <mergeCell ref="MTQ3:MUB3"/>
    <mergeCell ref="MUC3:MUN3"/>
    <mergeCell ref="MUO3:MUZ3"/>
    <mergeCell ref="MVA3:MVL3"/>
    <mergeCell ref="MPY3:MQJ3"/>
    <mergeCell ref="MQK3:MQV3"/>
    <mergeCell ref="MQW3:MRH3"/>
    <mergeCell ref="MRI3:MRT3"/>
    <mergeCell ref="MRU3:MSF3"/>
    <mergeCell ref="MSG3:MSR3"/>
    <mergeCell ref="NDU3:NEF3"/>
    <mergeCell ref="NEG3:NER3"/>
    <mergeCell ref="NES3:NFD3"/>
    <mergeCell ref="NFE3:NFP3"/>
    <mergeCell ref="NFQ3:NGB3"/>
    <mergeCell ref="NGC3:NGN3"/>
    <mergeCell ref="NBA3:NBL3"/>
    <mergeCell ref="NBM3:NBX3"/>
    <mergeCell ref="NBY3:NCJ3"/>
    <mergeCell ref="NCK3:NCV3"/>
    <mergeCell ref="NCW3:NDH3"/>
    <mergeCell ref="NDI3:NDT3"/>
    <mergeCell ref="MYG3:MYR3"/>
    <mergeCell ref="MYS3:MZD3"/>
    <mergeCell ref="MZE3:MZP3"/>
    <mergeCell ref="MZQ3:NAB3"/>
    <mergeCell ref="NAC3:NAN3"/>
    <mergeCell ref="NAO3:NAZ3"/>
    <mergeCell ref="NMC3:NMN3"/>
    <mergeCell ref="NMO3:NMZ3"/>
    <mergeCell ref="NNA3:NNL3"/>
    <mergeCell ref="NNM3:NNX3"/>
    <mergeCell ref="NNY3:NOJ3"/>
    <mergeCell ref="NOK3:NOV3"/>
    <mergeCell ref="NJI3:NJT3"/>
    <mergeCell ref="NJU3:NKF3"/>
    <mergeCell ref="NKG3:NKR3"/>
    <mergeCell ref="NKS3:NLD3"/>
    <mergeCell ref="NLE3:NLP3"/>
    <mergeCell ref="NLQ3:NMB3"/>
    <mergeCell ref="NGO3:NGZ3"/>
    <mergeCell ref="NHA3:NHL3"/>
    <mergeCell ref="NHM3:NHX3"/>
    <mergeCell ref="NHY3:NIJ3"/>
    <mergeCell ref="NIK3:NIV3"/>
    <mergeCell ref="NIW3:NJH3"/>
    <mergeCell ref="NUK3:NUV3"/>
    <mergeCell ref="NUW3:NVH3"/>
    <mergeCell ref="NVI3:NVT3"/>
    <mergeCell ref="NVU3:NWF3"/>
    <mergeCell ref="NWG3:NWR3"/>
    <mergeCell ref="NWS3:NXD3"/>
    <mergeCell ref="NRQ3:NSB3"/>
    <mergeCell ref="NSC3:NSN3"/>
    <mergeCell ref="NSO3:NSZ3"/>
    <mergeCell ref="NTA3:NTL3"/>
    <mergeCell ref="NTM3:NTX3"/>
    <mergeCell ref="NTY3:NUJ3"/>
    <mergeCell ref="NOW3:NPH3"/>
    <mergeCell ref="NPI3:NPT3"/>
    <mergeCell ref="NPU3:NQF3"/>
    <mergeCell ref="NQG3:NQR3"/>
    <mergeCell ref="NQS3:NRD3"/>
    <mergeCell ref="NRE3:NRP3"/>
    <mergeCell ref="OCS3:ODD3"/>
    <mergeCell ref="ODE3:ODP3"/>
    <mergeCell ref="ODQ3:OEB3"/>
    <mergeCell ref="OEC3:OEN3"/>
    <mergeCell ref="OEO3:OEZ3"/>
    <mergeCell ref="OFA3:OFL3"/>
    <mergeCell ref="NZY3:OAJ3"/>
    <mergeCell ref="OAK3:OAV3"/>
    <mergeCell ref="OAW3:OBH3"/>
    <mergeCell ref="OBI3:OBT3"/>
    <mergeCell ref="OBU3:OCF3"/>
    <mergeCell ref="OCG3:OCR3"/>
    <mergeCell ref="NXE3:NXP3"/>
    <mergeCell ref="NXQ3:NYB3"/>
    <mergeCell ref="NYC3:NYN3"/>
    <mergeCell ref="NYO3:NYZ3"/>
    <mergeCell ref="NZA3:NZL3"/>
    <mergeCell ref="NZM3:NZX3"/>
    <mergeCell ref="OLA3:OLL3"/>
    <mergeCell ref="OLM3:OLX3"/>
    <mergeCell ref="OLY3:OMJ3"/>
    <mergeCell ref="OMK3:OMV3"/>
    <mergeCell ref="OMW3:ONH3"/>
    <mergeCell ref="ONI3:ONT3"/>
    <mergeCell ref="OIG3:OIR3"/>
    <mergeCell ref="OIS3:OJD3"/>
    <mergeCell ref="OJE3:OJP3"/>
    <mergeCell ref="OJQ3:OKB3"/>
    <mergeCell ref="OKC3:OKN3"/>
    <mergeCell ref="OKO3:OKZ3"/>
    <mergeCell ref="OFM3:OFX3"/>
    <mergeCell ref="OFY3:OGJ3"/>
    <mergeCell ref="OGK3:OGV3"/>
    <mergeCell ref="OGW3:OHH3"/>
    <mergeCell ref="OHI3:OHT3"/>
    <mergeCell ref="OHU3:OIF3"/>
    <mergeCell ref="OTI3:OTT3"/>
    <mergeCell ref="OTU3:OUF3"/>
    <mergeCell ref="OUG3:OUR3"/>
    <mergeCell ref="OUS3:OVD3"/>
    <mergeCell ref="OVE3:OVP3"/>
    <mergeCell ref="OVQ3:OWB3"/>
    <mergeCell ref="OQO3:OQZ3"/>
    <mergeCell ref="ORA3:ORL3"/>
    <mergeCell ref="ORM3:ORX3"/>
    <mergeCell ref="ORY3:OSJ3"/>
    <mergeCell ref="OSK3:OSV3"/>
    <mergeCell ref="OSW3:OTH3"/>
    <mergeCell ref="ONU3:OOF3"/>
    <mergeCell ref="OOG3:OOR3"/>
    <mergeCell ref="OOS3:OPD3"/>
    <mergeCell ref="OPE3:OPP3"/>
    <mergeCell ref="OPQ3:OQB3"/>
    <mergeCell ref="OQC3:OQN3"/>
    <mergeCell ref="PBQ3:PCB3"/>
    <mergeCell ref="PCC3:PCN3"/>
    <mergeCell ref="PCO3:PCZ3"/>
    <mergeCell ref="PDA3:PDL3"/>
    <mergeCell ref="PDM3:PDX3"/>
    <mergeCell ref="PDY3:PEJ3"/>
    <mergeCell ref="OYW3:OZH3"/>
    <mergeCell ref="OZI3:OZT3"/>
    <mergeCell ref="OZU3:PAF3"/>
    <mergeCell ref="PAG3:PAR3"/>
    <mergeCell ref="PAS3:PBD3"/>
    <mergeCell ref="PBE3:PBP3"/>
    <mergeCell ref="OWC3:OWN3"/>
    <mergeCell ref="OWO3:OWZ3"/>
    <mergeCell ref="OXA3:OXL3"/>
    <mergeCell ref="OXM3:OXX3"/>
    <mergeCell ref="OXY3:OYJ3"/>
    <mergeCell ref="OYK3:OYV3"/>
    <mergeCell ref="PJY3:PKJ3"/>
    <mergeCell ref="PKK3:PKV3"/>
    <mergeCell ref="PKW3:PLH3"/>
    <mergeCell ref="PLI3:PLT3"/>
    <mergeCell ref="PLU3:PMF3"/>
    <mergeCell ref="PMG3:PMR3"/>
    <mergeCell ref="PHE3:PHP3"/>
    <mergeCell ref="PHQ3:PIB3"/>
    <mergeCell ref="PIC3:PIN3"/>
    <mergeCell ref="PIO3:PIZ3"/>
    <mergeCell ref="PJA3:PJL3"/>
    <mergeCell ref="PJM3:PJX3"/>
    <mergeCell ref="PEK3:PEV3"/>
    <mergeCell ref="PEW3:PFH3"/>
    <mergeCell ref="PFI3:PFT3"/>
    <mergeCell ref="PFU3:PGF3"/>
    <mergeCell ref="PGG3:PGR3"/>
    <mergeCell ref="PGS3:PHD3"/>
    <mergeCell ref="PSG3:PSR3"/>
    <mergeCell ref="PSS3:PTD3"/>
    <mergeCell ref="PTE3:PTP3"/>
    <mergeCell ref="PTQ3:PUB3"/>
    <mergeCell ref="PUC3:PUN3"/>
    <mergeCell ref="PUO3:PUZ3"/>
    <mergeCell ref="PPM3:PPX3"/>
    <mergeCell ref="PPY3:PQJ3"/>
    <mergeCell ref="PQK3:PQV3"/>
    <mergeCell ref="PQW3:PRH3"/>
    <mergeCell ref="PRI3:PRT3"/>
    <mergeCell ref="PRU3:PSF3"/>
    <mergeCell ref="PMS3:PND3"/>
    <mergeCell ref="PNE3:PNP3"/>
    <mergeCell ref="PNQ3:POB3"/>
    <mergeCell ref="POC3:PON3"/>
    <mergeCell ref="POO3:POZ3"/>
    <mergeCell ref="PPA3:PPL3"/>
    <mergeCell ref="QAO3:QAZ3"/>
    <mergeCell ref="QBA3:QBL3"/>
    <mergeCell ref="QBM3:QBX3"/>
    <mergeCell ref="QBY3:QCJ3"/>
    <mergeCell ref="QCK3:QCV3"/>
    <mergeCell ref="QCW3:QDH3"/>
    <mergeCell ref="PXU3:PYF3"/>
    <mergeCell ref="PYG3:PYR3"/>
    <mergeCell ref="PYS3:PZD3"/>
    <mergeCell ref="PZE3:PZP3"/>
    <mergeCell ref="PZQ3:QAB3"/>
    <mergeCell ref="QAC3:QAN3"/>
    <mergeCell ref="PVA3:PVL3"/>
    <mergeCell ref="PVM3:PVX3"/>
    <mergeCell ref="PVY3:PWJ3"/>
    <mergeCell ref="PWK3:PWV3"/>
    <mergeCell ref="PWW3:PXH3"/>
    <mergeCell ref="PXI3:PXT3"/>
    <mergeCell ref="QIW3:QJH3"/>
    <mergeCell ref="QJI3:QJT3"/>
    <mergeCell ref="QJU3:QKF3"/>
    <mergeCell ref="QKG3:QKR3"/>
    <mergeCell ref="QKS3:QLD3"/>
    <mergeCell ref="QLE3:QLP3"/>
    <mergeCell ref="QGC3:QGN3"/>
    <mergeCell ref="QGO3:QGZ3"/>
    <mergeCell ref="QHA3:QHL3"/>
    <mergeCell ref="QHM3:QHX3"/>
    <mergeCell ref="QHY3:QIJ3"/>
    <mergeCell ref="QIK3:QIV3"/>
    <mergeCell ref="QDI3:QDT3"/>
    <mergeCell ref="QDU3:QEF3"/>
    <mergeCell ref="QEG3:QER3"/>
    <mergeCell ref="QES3:QFD3"/>
    <mergeCell ref="QFE3:QFP3"/>
    <mergeCell ref="QFQ3:QGB3"/>
    <mergeCell ref="QRE3:QRP3"/>
    <mergeCell ref="QRQ3:QSB3"/>
    <mergeCell ref="QSC3:QSN3"/>
    <mergeCell ref="QSO3:QSZ3"/>
    <mergeCell ref="QTA3:QTL3"/>
    <mergeCell ref="QTM3:QTX3"/>
    <mergeCell ref="QOK3:QOV3"/>
    <mergeCell ref="QOW3:QPH3"/>
    <mergeCell ref="QPI3:QPT3"/>
    <mergeCell ref="QPU3:QQF3"/>
    <mergeCell ref="QQG3:QQR3"/>
    <mergeCell ref="QQS3:QRD3"/>
    <mergeCell ref="QLQ3:QMB3"/>
    <mergeCell ref="QMC3:QMN3"/>
    <mergeCell ref="QMO3:QMZ3"/>
    <mergeCell ref="QNA3:QNL3"/>
    <mergeCell ref="QNM3:QNX3"/>
    <mergeCell ref="QNY3:QOJ3"/>
    <mergeCell ref="QZM3:QZX3"/>
    <mergeCell ref="QZY3:RAJ3"/>
    <mergeCell ref="RAK3:RAV3"/>
    <mergeCell ref="RAW3:RBH3"/>
    <mergeCell ref="RBI3:RBT3"/>
    <mergeCell ref="RBU3:RCF3"/>
    <mergeCell ref="QWS3:QXD3"/>
    <mergeCell ref="QXE3:QXP3"/>
    <mergeCell ref="QXQ3:QYB3"/>
    <mergeCell ref="QYC3:QYN3"/>
    <mergeCell ref="QYO3:QYZ3"/>
    <mergeCell ref="QZA3:QZL3"/>
    <mergeCell ref="QTY3:QUJ3"/>
    <mergeCell ref="QUK3:QUV3"/>
    <mergeCell ref="QUW3:QVH3"/>
    <mergeCell ref="QVI3:QVT3"/>
    <mergeCell ref="QVU3:QWF3"/>
    <mergeCell ref="QWG3:QWR3"/>
    <mergeCell ref="RHU3:RIF3"/>
    <mergeCell ref="RIG3:RIR3"/>
    <mergeCell ref="RIS3:RJD3"/>
    <mergeCell ref="RJE3:RJP3"/>
    <mergeCell ref="RJQ3:RKB3"/>
    <mergeCell ref="RKC3:RKN3"/>
    <mergeCell ref="RFA3:RFL3"/>
    <mergeCell ref="RFM3:RFX3"/>
    <mergeCell ref="RFY3:RGJ3"/>
    <mergeCell ref="RGK3:RGV3"/>
    <mergeCell ref="RGW3:RHH3"/>
    <mergeCell ref="RHI3:RHT3"/>
    <mergeCell ref="RCG3:RCR3"/>
    <mergeCell ref="RCS3:RDD3"/>
    <mergeCell ref="RDE3:RDP3"/>
    <mergeCell ref="RDQ3:REB3"/>
    <mergeCell ref="REC3:REN3"/>
    <mergeCell ref="REO3:REZ3"/>
    <mergeCell ref="RQC3:RQN3"/>
    <mergeCell ref="RQO3:RQZ3"/>
    <mergeCell ref="RRA3:RRL3"/>
    <mergeCell ref="RRM3:RRX3"/>
    <mergeCell ref="RRY3:RSJ3"/>
    <mergeCell ref="RSK3:RSV3"/>
    <mergeCell ref="RNI3:RNT3"/>
    <mergeCell ref="RNU3:ROF3"/>
    <mergeCell ref="ROG3:ROR3"/>
    <mergeCell ref="ROS3:RPD3"/>
    <mergeCell ref="RPE3:RPP3"/>
    <mergeCell ref="RPQ3:RQB3"/>
    <mergeCell ref="RKO3:RKZ3"/>
    <mergeCell ref="RLA3:RLL3"/>
    <mergeCell ref="RLM3:RLX3"/>
    <mergeCell ref="RLY3:RMJ3"/>
    <mergeCell ref="RMK3:RMV3"/>
    <mergeCell ref="RMW3:RNH3"/>
    <mergeCell ref="RYK3:RYV3"/>
    <mergeCell ref="RYW3:RZH3"/>
    <mergeCell ref="RZI3:RZT3"/>
    <mergeCell ref="RZU3:SAF3"/>
    <mergeCell ref="SAG3:SAR3"/>
    <mergeCell ref="SAS3:SBD3"/>
    <mergeCell ref="RVQ3:RWB3"/>
    <mergeCell ref="RWC3:RWN3"/>
    <mergeCell ref="RWO3:RWZ3"/>
    <mergeCell ref="RXA3:RXL3"/>
    <mergeCell ref="RXM3:RXX3"/>
    <mergeCell ref="RXY3:RYJ3"/>
    <mergeCell ref="RSW3:RTH3"/>
    <mergeCell ref="RTI3:RTT3"/>
    <mergeCell ref="RTU3:RUF3"/>
    <mergeCell ref="RUG3:RUR3"/>
    <mergeCell ref="RUS3:RVD3"/>
    <mergeCell ref="RVE3:RVP3"/>
    <mergeCell ref="SGS3:SHD3"/>
    <mergeCell ref="SHE3:SHP3"/>
    <mergeCell ref="SHQ3:SIB3"/>
    <mergeCell ref="SIC3:SIN3"/>
    <mergeCell ref="SIO3:SIZ3"/>
    <mergeCell ref="SJA3:SJL3"/>
    <mergeCell ref="SDY3:SEJ3"/>
    <mergeCell ref="SEK3:SEV3"/>
    <mergeCell ref="SEW3:SFH3"/>
    <mergeCell ref="SFI3:SFT3"/>
    <mergeCell ref="SFU3:SGF3"/>
    <mergeCell ref="SGG3:SGR3"/>
    <mergeCell ref="SBE3:SBP3"/>
    <mergeCell ref="SBQ3:SCB3"/>
    <mergeCell ref="SCC3:SCN3"/>
    <mergeCell ref="SCO3:SCZ3"/>
    <mergeCell ref="SDA3:SDL3"/>
    <mergeCell ref="SDM3:SDX3"/>
    <mergeCell ref="SPA3:SPL3"/>
    <mergeCell ref="SPM3:SPX3"/>
    <mergeCell ref="SPY3:SQJ3"/>
    <mergeCell ref="SQK3:SQV3"/>
    <mergeCell ref="SQW3:SRH3"/>
    <mergeCell ref="SRI3:SRT3"/>
    <mergeCell ref="SMG3:SMR3"/>
    <mergeCell ref="SMS3:SND3"/>
    <mergeCell ref="SNE3:SNP3"/>
    <mergeCell ref="SNQ3:SOB3"/>
    <mergeCell ref="SOC3:SON3"/>
    <mergeCell ref="SOO3:SOZ3"/>
    <mergeCell ref="SJM3:SJX3"/>
    <mergeCell ref="SJY3:SKJ3"/>
    <mergeCell ref="SKK3:SKV3"/>
    <mergeCell ref="SKW3:SLH3"/>
    <mergeCell ref="SLI3:SLT3"/>
    <mergeCell ref="SLU3:SMF3"/>
    <mergeCell ref="SXI3:SXT3"/>
    <mergeCell ref="SXU3:SYF3"/>
    <mergeCell ref="SYG3:SYR3"/>
    <mergeCell ref="SYS3:SZD3"/>
    <mergeCell ref="SZE3:SZP3"/>
    <mergeCell ref="SZQ3:TAB3"/>
    <mergeCell ref="SUO3:SUZ3"/>
    <mergeCell ref="SVA3:SVL3"/>
    <mergeCell ref="SVM3:SVX3"/>
    <mergeCell ref="SVY3:SWJ3"/>
    <mergeCell ref="SWK3:SWV3"/>
    <mergeCell ref="SWW3:SXH3"/>
    <mergeCell ref="SRU3:SSF3"/>
    <mergeCell ref="SSG3:SSR3"/>
    <mergeCell ref="SSS3:STD3"/>
    <mergeCell ref="STE3:STP3"/>
    <mergeCell ref="STQ3:SUB3"/>
    <mergeCell ref="SUC3:SUN3"/>
    <mergeCell ref="TFQ3:TGB3"/>
    <mergeCell ref="TGC3:TGN3"/>
    <mergeCell ref="TGO3:TGZ3"/>
    <mergeCell ref="THA3:THL3"/>
    <mergeCell ref="THM3:THX3"/>
    <mergeCell ref="THY3:TIJ3"/>
    <mergeCell ref="TCW3:TDH3"/>
    <mergeCell ref="TDI3:TDT3"/>
    <mergeCell ref="TDU3:TEF3"/>
    <mergeCell ref="TEG3:TER3"/>
    <mergeCell ref="TES3:TFD3"/>
    <mergeCell ref="TFE3:TFP3"/>
    <mergeCell ref="TAC3:TAN3"/>
    <mergeCell ref="TAO3:TAZ3"/>
    <mergeCell ref="TBA3:TBL3"/>
    <mergeCell ref="TBM3:TBX3"/>
    <mergeCell ref="TBY3:TCJ3"/>
    <mergeCell ref="TCK3:TCV3"/>
    <mergeCell ref="TNY3:TOJ3"/>
    <mergeCell ref="TOK3:TOV3"/>
    <mergeCell ref="TOW3:TPH3"/>
    <mergeCell ref="TPI3:TPT3"/>
    <mergeCell ref="TPU3:TQF3"/>
    <mergeCell ref="TQG3:TQR3"/>
    <mergeCell ref="TLE3:TLP3"/>
    <mergeCell ref="TLQ3:TMB3"/>
    <mergeCell ref="TMC3:TMN3"/>
    <mergeCell ref="TMO3:TMZ3"/>
    <mergeCell ref="TNA3:TNL3"/>
    <mergeCell ref="TNM3:TNX3"/>
    <mergeCell ref="TIK3:TIV3"/>
    <mergeCell ref="TIW3:TJH3"/>
    <mergeCell ref="TJI3:TJT3"/>
    <mergeCell ref="TJU3:TKF3"/>
    <mergeCell ref="TKG3:TKR3"/>
    <mergeCell ref="TKS3:TLD3"/>
    <mergeCell ref="TWG3:TWR3"/>
    <mergeCell ref="TWS3:TXD3"/>
    <mergeCell ref="TXE3:TXP3"/>
    <mergeCell ref="TXQ3:TYB3"/>
    <mergeCell ref="TYC3:TYN3"/>
    <mergeCell ref="TYO3:TYZ3"/>
    <mergeCell ref="TTM3:TTX3"/>
    <mergeCell ref="TTY3:TUJ3"/>
    <mergeCell ref="TUK3:TUV3"/>
    <mergeCell ref="TUW3:TVH3"/>
    <mergeCell ref="TVI3:TVT3"/>
    <mergeCell ref="TVU3:TWF3"/>
    <mergeCell ref="TQS3:TRD3"/>
    <mergeCell ref="TRE3:TRP3"/>
    <mergeCell ref="TRQ3:TSB3"/>
    <mergeCell ref="TSC3:TSN3"/>
    <mergeCell ref="TSO3:TSZ3"/>
    <mergeCell ref="TTA3:TTL3"/>
    <mergeCell ref="UEO3:UEZ3"/>
    <mergeCell ref="UFA3:UFL3"/>
    <mergeCell ref="UFM3:UFX3"/>
    <mergeCell ref="UFY3:UGJ3"/>
    <mergeCell ref="UGK3:UGV3"/>
    <mergeCell ref="UGW3:UHH3"/>
    <mergeCell ref="UBU3:UCF3"/>
    <mergeCell ref="UCG3:UCR3"/>
    <mergeCell ref="UCS3:UDD3"/>
    <mergeCell ref="UDE3:UDP3"/>
    <mergeCell ref="UDQ3:UEB3"/>
    <mergeCell ref="UEC3:UEN3"/>
    <mergeCell ref="TZA3:TZL3"/>
    <mergeCell ref="TZM3:TZX3"/>
    <mergeCell ref="TZY3:UAJ3"/>
    <mergeCell ref="UAK3:UAV3"/>
    <mergeCell ref="UAW3:UBH3"/>
    <mergeCell ref="UBI3:UBT3"/>
    <mergeCell ref="UMW3:UNH3"/>
    <mergeCell ref="UNI3:UNT3"/>
    <mergeCell ref="UNU3:UOF3"/>
    <mergeCell ref="UOG3:UOR3"/>
    <mergeCell ref="UOS3:UPD3"/>
    <mergeCell ref="UPE3:UPP3"/>
    <mergeCell ref="UKC3:UKN3"/>
    <mergeCell ref="UKO3:UKZ3"/>
    <mergeCell ref="ULA3:ULL3"/>
    <mergeCell ref="ULM3:ULX3"/>
    <mergeCell ref="ULY3:UMJ3"/>
    <mergeCell ref="UMK3:UMV3"/>
    <mergeCell ref="UHI3:UHT3"/>
    <mergeCell ref="UHU3:UIF3"/>
    <mergeCell ref="UIG3:UIR3"/>
    <mergeCell ref="UIS3:UJD3"/>
    <mergeCell ref="UJE3:UJP3"/>
    <mergeCell ref="UJQ3:UKB3"/>
    <mergeCell ref="UVE3:UVP3"/>
    <mergeCell ref="UVQ3:UWB3"/>
    <mergeCell ref="UWC3:UWN3"/>
    <mergeCell ref="UWO3:UWZ3"/>
    <mergeCell ref="UXA3:UXL3"/>
    <mergeCell ref="UXM3:UXX3"/>
    <mergeCell ref="USK3:USV3"/>
    <mergeCell ref="USW3:UTH3"/>
    <mergeCell ref="UTI3:UTT3"/>
    <mergeCell ref="UTU3:UUF3"/>
    <mergeCell ref="UUG3:UUR3"/>
    <mergeCell ref="UUS3:UVD3"/>
    <mergeCell ref="UPQ3:UQB3"/>
    <mergeCell ref="UQC3:UQN3"/>
    <mergeCell ref="UQO3:UQZ3"/>
    <mergeCell ref="URA3:URL3"/>
    <mergeCell ref="URM3:URX3"/>
    <mergeCell ref="URY3:USJ3"/>
    <mergeCell ref="VDM3:VDX3"/>
    <mergeCell ref="VDY3:VEJ3"/>
    <mergeCell ref="VEK3:VEV3"/>
    <mergeCell ref="VEW3:VFH3"/>
    <mergeCell ref="VFI3:VFT3"/>
    <mergeCell ref="VFU3:VGF3"/>
    <mergeCell ref="VAS3:VBD3"/>
    <mergeCell ref="VBE3:VBP3"/>
    <mergeCell ref="VBQ3:VCB3"/>
    <mergeCell ref="VCC3:VCN3"/>
    <mergeCell ref="VCO3:VCZ3"/>
    <mergeCell ref="VDA3:VDL3"/>
    <mergeCell ref="UXY3:UYJ3"/>
    <mergeCell ref="UYK3:UYV3"/>
    <mergeCell ref="UYW3:UZH3"/>
    <mergeCell ref="UZI3:UZT3"/>
    <mergeCell ref="UZU3:VAF3"/>
    <mergeCell ref="VAG3:VAR3"/>
    <mergeCell ref="VLU3:VMF3"/>
    <mergeCell ref="VMG3:VMR3"/>
    <mergeCell ref="VMS3:VND3"/>
    <mergeCell ref="VNE3:VNP3"/>
    <mergeCell ref="VNQ3:VOB3"/>
    <mergeCell ref="VOC3:VON3"/>
    <mergeCell ref="VJA3:VJL3"/>
    <mergeCell ref="VJM3:VJX3"/>
    <mergeCell ref="VJY3:VKJ3"/>
    <mergeCell ref="VKK3:VKV3"/>
    <mergeCell ref="VKW3:VLH3"/>
    <mergeCell ref="VLI3:VLT3"/>
    <mergeCell ref="VGG3:VGR3"/>
    <mergeCell ref="VGS3:VHD3"/>
    <mergeCell ref="VHE3:VHP3"/>
    <mergeCell ref="VHQ3:VIB3"/>
    <mergeCell ref="VIC3:VIN3"/>
    <mergeCell ref="VIO3:VIZ3"/>
    <mergeCell ref="VUC3:VUN3"/>
    <mergeCell ref="VUO3:VUZ3"/>
    <mergeCell ref="VVA3:VVL3"/>
    <mergeCell ref="VVM3:VVX3"/>
    <mergeCell ref="VVY3:VWJ3"/>
    <mergeCell ref="VWK3:VWV3"/>
    <mergeCell ref="VRI3:VRT3"/>
    <mergeCell ref="VRU3:VSF3"/>
    <mergeCell ref="VSG3:VSR3"/>
    <mergeCell ref="VSS3:VTD3"/>
    <mergeCell ref="VTE3:VTP3"/>
    <mergeCell ref="VTQ3:VUB3"/>
    <mergeCell ref="VOO3:VOZ3"/>
    <mergeCell ref="VPA3:VPL3"/>
    <mergeCell ref="VPM3:VPX3"/>
    <mergeCell ref="VPY3:VQJ3"/>
    <mergeCell ref="VQK3:VQV3"/>
    <mergeCell ref="VQW3:VRH3"/>
    <mergeCell ref="WCK3:WCV3"/>
    <mergeCell ref="WCW3:WDH3"/>
    <mergeCell ref="WDI3:WDT3"/>
    <mergeCell ref="WDU3:WEF3"/>
    <mergeCell ref="WEG3:WER3"/>
    <mergeCell ref="WES3:WFD3"/>
    <mergeCell ref="VZQ3:WAB3"/>
    <mergeCell ref="WAC3:WAN3"/>
    <mergeCell ref="WAO3:WAZ3"/>
    <mergeCell ref="WBA3:WBL3"/>
    <mergeCell ref="WBM3:WBX3"/>
    <mergeCell ref="WBY3:WCJ3"/>
    <mergeCell ref="VWW3:VXH3"/>
    <mergeCell ref="VXI3:VXT3"/>
    <mergeCell ref="VXU3:VYF3"/>
    <mergeCell ref="VYG3:VYR3"/>
    <mergeCell ref="VYS3:VZD3"/>
    <mergeCell ref="VZE3:VZP3"/>
    <mergeCell ref="WKS3:WLD3"/>
    <mergeCell ref="WLE3:WLP3"/>
    <mergeCell ref="WLQ3:WMB3"/>
    <mergeCell ref="WMC3:WMN3"/>
    <mergeCell ref="WMO3:WMZ3"/>
    <mergeCell ref="WNA3:WNL3"/>
    <mergeCell ref="WHY3:WIJ3"/>
    <mergeCell ref="WIK3:WIV3"/>
    <mergeCell ref="WIW3:WJH3"/>
    <mergeCell ref="WJI3:WJT3"/>
    <mergeCell ref="WJU3:WKF3"/>
    <mergeCell ref="WKG3:WKR3"/>
    <mergeCell ref="WFE3:WFP3"/>
    <mergeCell ref="WFQ3:WGB3"/>
    <mergeCell ref="WGC3:WGN3"/>
    <mergeCell ref="WGO3:WGZ3"/>
    <mergeCell ref="WHA3:WHL3"/>
    <mergeCell ref="WHM3:WHX3"/>
    <mergeCell ref="WTA3:WTL3"/>
    <mergeCell ref="WTM3:WTX3"/>
    <mergeCell ref="WTY3:WUJ3"/>
    <mergeCell ref="WUK3:WUV3"/>
    <mergeCell ref="WUW3:WVH3"/>
    <mergeCell ref="WVI3:WVT3"/>
    <mergeCell ref="WQG3:WQR3"/>
    <mergeCell ref="WQS3:WRD3"/>
    <mergeCell ref="WRE3:WRP3"/>
    <mergeCell ref="WRQ3:WSB3"/>
    <mergeCell ref="WSC3:WSN3"/>
    <mergeCell ref="WSO3:WSZ3"/>
    <mergeCell ref="WNM3:WNX3"/>
    <mergeCell ref="WNY3:WOJ3"/>
    <mergeCell ref="WOK3:WOV3"/>
    <mergeCell ref="WOW3:WPH3"/>
    <mergeCell ref="WPI3:WPT3"/>
    <mergeCell ref="WPU3:WQF3"/>
    <mergeCell ref="XEC3:XEN3"/>
    <mergeCell ref="XEO3:XEZ3"/>
    <mergeCell ref="XFA3:XFD3"/>
    <mergeCell ref="XBI3:XBT3"/>
    <mergeCell ref="XBU3:XCF3"/>
    <mergeCell ref="XCG3:XCR3"/>
    <mergeCell ref="XCS3:XDD3"/>
    <mergeCell ref="XDE3:XDP3"/>
    <mergeCell ref="XDQ3:XEB3"/>
    <mergeCell ref="WYO3:WYZ3"/>
    <mergeCell ref="WZA3:WZL3"/>
    <mergeCell ref="WZM3:WZX3"/>
    <mergeCell ref="WZY3:XAJ3"/>
    <mergeCell ref="XAK3:XAV3"/>
    <mergeCell ref="XAW3:XBH3"/>
    <mergeCell ref="WVU3:WWF3"/>
    <mergeCell ref="WWG3:WWR3"/>
    <mergeCell ref="WWS3:WXD3"/>
    <mergeCell ref="WXE3:WXP3"/>
    <mergeCell ref="WXQ3:WYB3"/>
    <mergeCell ref="WYC3:WY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4:N19"/>
  <sheetViews>
    <sheetView workbookViewId="0">
      <selection activeCell="C8" sqref="C8:N18"/>
    </sheetView>
  </sheetViews>
  <sheetFormatPr defaultRowHeight="15"/>
  <cols>
    <col min="4" max="4" width="39.7109375" customWidth="1"/>
    <col min="5" max="5" width="18" bestFit="1" customWidth="1"/>
    <col min="7" max="7" width="18" bestFit="1" customWidth="1"/>
    <col min="9" max="9" width="18" bestFit="1" customWidth="1"/>
    <col min="11" max="11" width="18" bestFit="1" customWidth="1"/>
    <col min="13" max="13" width="18" bestFit="1" customWidth="1"/>
  </cols>
  <sheetData>
    <row r="4" spans="3:14">
      <c r="C4" s="521" t="s">
        <v>554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</row>
    <row r="5" spans="3:14">
      <c r="C5" s="521" t="s">
        <v>543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</row>
    <row r="6" spans="3:14">
      <c r="C6" s="521" t="s">
        <v>512</v>
      </c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</row>
    <row r="8" spans="3:14" s="432" customFormat="1">
      <c r="C8" s="520" t="s">
        <v>106</v>
      </c>
      <c r="D8" s="520" t="s">
        <v>142</v>
      </c>
      <c r="E8" s="532">
        <v>2008</v>
      </c>
      <c r="F8" s="532"/>
      <c r="G8" s="532">
        <v>2009</v>
      </c>
      <c r="H8" s="532"/>
      <c r="I8" s="532">
        <v>2010</v>
      </c>
      <c r="J8" s="532"/>
      <c r="K8" s="532">
        <v>2011</v>
      </c>
      <c r="L8" s="532"/>
      <c r="M8" s="532">
        <v>2012</v>
      </c>
      <c r="N8" s="532"/>
    </row>
    <row r="9" spans="3:14" s="432" customFormat="1">
      <c r="C9" s="520"/>
      <c r="D9" s="520"/>
      <c r="E9" s="446" t="s">
        <v>555</v>
      </c>
      <c r="F9" s="446" t="s">
        <v>556</v>
      </c>
      <c r="G9" s="446" t="s">
        <v>555</v>
      </c>
      <c r="H9" s="446" t="s">
        <v>556</v>
      </c>
      <c r="I9" s="446" t="s">
        <v>555</v>
      </c>
      <c r="J9" s="446" t="s">
        <v>556</v>
      </c>
      <c r="K9" s="446" t="s">
        <v>555</v>
      </c>
      <c r="L9" s="446" t="s">
        <v>556</v>
      </c>
      <c r="M9" s="446" t="s">
        <v>555</v>
      </c>
      <c r="N9" s="446" t="s">
        <v>556</v>
      </c>
    </row>
    <row r="10" spans="3:14"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</row>
    <row r="11" spans="3:14">
      <c r="C11" s="448">
        <v>1</v>
      </c>
      <c r="D11" s="437" t="s">
        <v>557</v>
      </c>
      <c r="E11" s="438">
        <f>+'Tutup Defisit'!C15</f>
        <v>56880649463</v>
      </c>
      <c r="F11" s="474">
        <v>1</v>
      </c>
      <c r="G11" s="438">
        <f>+'Tutup Defisit'!D15</f>
        <v>30233284008</v>
      </c>
      <c r="H11" s="474">
        <v>1</v>
      </c>
      <c r="I11" s="438">
        <f>+'Tutup Defisit'!E15</f>
        <v>39779853641</v>
      </c>
      <c r="J11" s="474">
        <v>1</v>
      </c>
      <c r="K11" s="438">
        <f>+'Tutup Defisit'!F15</f>
        <v>46221398450</v>
      </c>
      <c r="L11" s="474">
        <v>1</v>
      </c>
      <c r="M11" s="438">
        <f>+'Tutup Defisit'!G15</f>
        <v>44156820949</v>
      </c>
      <c r="N11" s="474">
        <v>1</v>
      </c>
    </row>
    <row r="12" spans="3:14">
      <c r="C12" s="448">
        <v>2</v>
      </c>
      <c r="D12" s="437" t="s">
        <v>558</v>
      </c>
      <c r="E12" s="438">
        <v>0</v>
      </c>
      <c r="F12" s="475">
        <f>+E12/E$11</f>
        <v>0</v>
      </c>
      <c r="G12" s="438">
        <v>0</v>
      </c>
      <c r="H12" s="475">
        <f>+G12/G$11</f>
        <v>0</v>
      </c>
      <c r="I12" s="438"/>
      <c r="J12" s="475">
        <f>+I12/I$11</f>
        <v>0</v>
      </c>
      <c r="K12" s="438">
        <v>1159449858</v>
      </c>
      <c r="L12" s="475">
        <f>+K12/K$11</f>
        <v>2.5084698794958248E-2</v>
      </c>
      <c r="M12" s="438">
        <v>2701437443</v>
      </c>
      <c r="N12" s="475">
        <f>+M12/M$11</f>
        <v>6.1178259325328041E-2</v>
      </c>
    </row>
    <row r="13" spans="3:14">
      <c r="C13" s="448">
        <v>3</v>
      </c>
      <c r="D13" s="437" t="s">
        <v>559</v>
      </c>
      <c r="E13" s="438">
        <v>8739570013</v>
      </c>
      <c r="F13" s="475">
        <f t="shared" ref="F13:F17" si="0">+E13/E$11</f>
        <v>0.15364750746534561</v>
      </c>
      <c r="G13" s="438">
        <v>9997826009</v>
      </c>
      <c r="H13" s="475">
        <f t="shared" ref="H13:H17" si="1">+G13/G$11</f>
        <v>0.33068938215095933</v>
      </c>
      <c r="I13" s="438">
        <v>5175021120</v>
      </c>
      <c r="J13" s="475">
        <f t="shared" ref="J13:J17" si="2">+I13/I$11</f>
        <v>0.13009150729167712</v>
      </c>
      <c r="K13" s="438">
        <v>783446211</v>
      </c>
      <c r="L13" s="475">
        <f t="shared" ref="L13:L17" si="3">+K13/K$11</f>
        <v>1.6949859529834282E-2</v>
      </c>
      <c r="M13" s="438">
        <v>0</v>
      </c>
      <c r="N13" s="475">
        <f t="shared" ref="N13:N17" si="4">+M13/M$11</f>
        <v>0</v>
      </c>
    </row>
    <row r="14" spans="3:14" ht="30">
      <c r="C14" s="448">
        <v>4</v>
      </c>
      <c r="D14" s="476" t="s">
        <v>560</v>
      </c>
      <c r="E14" s="477">
        <v>0</v>
      </c>
      <c r="F14" s="478">
        <f t="shared" si="0"/>
        <v>0</v>
      </c>
      <c r="G14" s="477">
        <v>13422970434</v>
      </c>
      <c r="H14" s="478">
        <f t="shared" si="1"/>
        <v>0.44397990077585225</v>
      </c>
      <c r="I14" s="477">
        <v>1565591597</v>
      </c>
      <c r="J14" s="478">
        <f t="shared" si="2"/>
        <v>3.9356394096593354E-2</v>
      </c>
      <c r="K14" s="477">
        <v>13080834455</v>
      </c>
      <c r="L14" s="478">
        <f t="shared" si="3"/>
        <v>0.28300386603728994</v>
      </c>
      <c r="M14" s="477">
        <v>1359188553</v>
      </c>
      <c r="N14" s="478">
        <f t="shared" si="4"/>
        <v>3.0780942191690568E-2</v>
      </c>
    </row>
    <row r="15" spans="3:14">
      <c r="C15" s="448">
        <v>5</v>
      </c>
      <c r="D15" s="437" t="s">
        <v>561</v>
      </c>
      <c r="E15" s="438">
        <v>44131519566</v>
      </c>
      <c r="F15" s="475">
        <f t="shared" si="0"/>
        <v>0.77586173826490645</v>
      </c>
      <c r="G15" s="438">
        <v>4245534965</v>
      </c>
      <c r="H15" s="475">
        <f t="shared" si="1"/>
        <v>0.14042586190360906</v>
      </c>
      <c r="I15" s="438">
        <v>30906581054</v>
      </c>
      <c r="J15" s="475">
        <f t="shared" si="2"/>
        <v>0.77694054213777797</v>
      </c>
      <c r="K15" s="438">
        <v>27066280545</v>
      </c>
      <c r="L15" s="475">
        <f t="shared" si="3"/>
        <v>0.5855790056693968</v>
      </c>
      <c r="M15" s="438">
        <v>35171117846</v>
      </c>
      <c r="N15" s="475">
        <f t="shared" si="4"/>
        <v>0.79650475487403727</v>
      </c>
    </row>
    <row r="16" spans="3:14" ht="30">
      <c r="C16" s="448">
        <v>6</v>
      </c>
      <c r="D16" s="476" t="s">
        <v>562</v>
      </c>
      <c r="E16" s="477">
        <v>4009559884</v>
      </c>
      <c r="F16" s="478">
        <f t="shared" si="0"/>
        <v>7.049075426974788E-2</v>
      </c>
      <c r="G16" s="477">
        <v>2566952600</v>
      </c>
      <c r="H16" s="478">
        <f t="shared" si="1"/>
        <v>8.4904855169579366E-2</v>
      </c>
      <c r="I16" s="477">
        <v>2132659870</v>
      </c>
      <c r="J16" s="478">
        <f t="shared" si="2"/>
        <v>5.3611556473951584E-2</v>
      </c>
      <c r="K16" s="477">
        <v>4131387381</v>
      </c>
      <c r="L16" s="478">
        <f t="shared" si="3"/>
        <v>8.9382569968520717E-2</v>
      </c>
      <c r="M16" s="477">
        <v>4925077107</v>
      </c>
      <c r="N16" s="478">
        <f t="shared" si="4"/>
        <v>0.11153604360894409</v>
      </c>
    </row>
    <row r="17" spans="3:14">
      <c r="C17" s="448">
        <v>7</v>
      </c>
      <c r="D17" s="437" t="s">
        <v>563</v>
      </c>
      <c r="E17" s="438">
        <v>0</v>
      </c>
      <c r="F17" s="475">
        <f t="shared" si="0"/>
        <v>0</v>
      </c>
      <c r="G17" s="438">
        <v>0</v>
      </c>
      <c r="H17" s="475">
        <f t="shared" si="1"/>
        <v>0</v>
      </c>
      <c r="I17" s="438">
        <v>0</v>
      </c>
      <c r="J17" s="475">
        <f t="shared" si="2"/>
        <v>0</v>
      </c>
      <c r="K17" s="438"/>
      <c r="L17" s="475">
        <f t="shared" si="3"/>
        <v>0</v>
      </c>
      <c r="M17" s="438">
        <v>0</v>
      </c>
      <c r="N17" s="475">
        <f t="shared" si="4"/>
        <v>0</v>
      </c>
    </row>
    <row r="18" spans="3:14"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</row>
    <row r="19" spans="3:14" s="479" customFormat="1">
      <c r="D19" s="479" t="s">
        <v>508</v>
      </c>
      <c r="E19" s="480">
        <f>+E11-E13-E16</f>
        <v>44131519566</v>
      </c>
      <c r="G19" s="480">
        <f>+G11-G13-G14-G16</f>
        <v>4245534965</v>
      </c>
      <c r="I19" s="480">
        <f>+I11-I13-I14-I16</f>
        <v>30906581054</v>
      </c>
      <c r="K19" s="480">
        <f>+K11-K12-K13-K14-K16</f>
        <v>27066280545</v>
      </c>
      <c r="M19" s="480">
        <f>+M11-M12-M14-M16</f>
        <v>35171117846</v>
      </c>
    </row>
  </sheetData>
  <mergeCells count="10">
    <mergeCell ref="C8:C9"/>
    <mergeCell ref="C4:N4"/>
    <mergeCell ref="C5:N5"/>
    <mergeCell ref="C6:N6"/>
    <mergeCell ref="E8:F8"/>
    <mergeCell ref="G8:H8"/>
    <mergeCell ref="I8:J8"/>
    <mergeCell ref="K8:L8"/>
    <mergeCell ref="M8:N8"/>
    <mergeCell ref="D8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4:I16"/>
  <sheetViews>
    <sheetView workbookViewId="0">
      <selection activeCell="D18" sqref="D18"/>
    </sheetView>
  </sheetViews>
  <sheetFormatPr defaultRowHeight="15"/>
  <cols>
    <col min="4" max="4" width="39.7109375" customWidth="1"/>
    <col min="5" max="9" width="18" bestFit="1" customWidth="1"/>
  </cols>
  <sheetData>
    <row r="4" spans="3:9">
      <c r="C4" s="521" t="s">
        <v>567</v>
      </c>
      <c r="D4" s="521"/>
      <c r="E4" s="521"/>
      <c r="F4" s="521"/>
      <c r="G4" s="521"/>
      <c r="H4" s="521"/>
      <c r="I4" s="521"/>
    </row>
    <row r="5" spans="3:9">
      <c r="C5" s="521" t="s">
        <v>543</v>
      </c>
      <c r="D5" s="521"/>
      <c r="E5" s="521"/>
      <c r="F5" s="521"/>
      <c r="G5" s="521"/>
      <c r="H5" s="521"/>
      <c r="I5" s="521"/>
    </row>
    <row r="6" spans="3:9">
      <c r="C6" s="521" t="s">
        <v>512</v>
      </c>
      <c r="D6" s="521"/>
      <c r="E6" s="521"/>
      <c r="F6" s="521"/>
      <c r="G6" s="521"/>
      <c r="H6" s="521"/>
      <c r="I6" s="521"/>
    </row>
    <row r="8" spans="3:9" s="432" customFormat="1">
      <c r="C8" s="446" t="s">
        <v>106</v>
      </c>
      <c r="D8" s="446" t="s">
        <v>142</v>
      </c>
      <c r="E8" s="433">
        <v>2008</v>
      </c>
      <c r="F8" s="433">
        <v>2009</v>
      </c>
      <c r="G8" s="433">
        <v>2010</v>
      </c>
      <c r="H8" s="433">
        <v>2011</v>
      </c>
      <c r="I8" s="433">
        <v>2012</v>
      </c>
    </row>
    <row r="9" spans="3:9">
      <c r="C9" s="437"/>
      <c r="D9" s="437"/>
      <c r="E9" s="437"/>
      <c r="F9" s="437"/>
      <c r="G9" s="437"/>
      <c r="H9" s="437"/>
      <c r="I9" s="437"/>
    </row>
    <row r="10" spans="3:9">
      <c r="C10" s="483">
        <v>1</v>
      </c>
      <c r="D10" s="437" t="s">
        <v>564</v>
      </c>
      <c r="E10" s="438">
        <v>30233284008</v>
      </c>
      <c r="F10" s="438">
        <v>39779853651</v>
      </c>
      <c r="G10" s="438">
        <v>46221398450</v>
      </c>
      <c r="H10" s="438">
        <v>44156820949</v>
      </c>
      <c r="I10" s="438">
        <v>41776547255</v>
      </c>
    </row>
    <row r="11" spans="3:9">
      <c r="C11" s="483"/>
      <c r="D11" s="437" t="s">
        <v>565</v>
      </c>
      <c r="E11" s="438"/>
      <c r="F11" s="438"/>
      <c r="G11" s="438"/>
      <c r="H11" s="438"/>
      <c r="I11" s="438"/>
    </row>
    <row r="12" spans="3:9" ht="30">
      <c r="C12" s="483">
        <v>2</v>
      </c>
      <c r="D12" s="476" t="s">
        <v>562</v>
      </c>
      <c r="E12" s="477">
        <v>4009559884</v>
      </c>
      <c r="F12" s="477">
        <v>2566952600</v>
      </c>
      <c r="G12" s="477">
        <v>2132659870</v>
      </c>
      <c r="H12" s="477">
        <v>4131387381</v>
      </c>
      <c r="I12" s="477">
        <v>4925077107</v>
      </c>
    </row>
    <row r="13" spans="3:9">
      <c r="C13" s="483">
        <v>3</v>
      </c>
      <c r="D13" s="437" t="s">
        <v>563</v>
      </c>
      <c r="E13" s="438">
        <v>0</v>
      </c>
      <c r="F13" s="438">
        <v>0</v>
      </c>
      <c r="G13" s="438">
        <v>0</v>
      </c>
      <c r="H13" s="438"/>
      <c r="I13" s="438">
        <v>0</v>
      </c>
    </row>
    <row r="14" spans="3:9">
      <c r="C14" s="484"/>
      <c r="D14" s="437" t="s">
        <v>566</v>
      </c>
      <c r="E14" s="481">
        <f>+E10-E12-E13</f>
        <v>26223724124</v>
      </c>
      <c r="F14" s="481">
        <f t="shared" ref="F14:I14" si="0">+F10-F12-F13</f>
        <v>37212901051</v>
      </c>
      <c r="G14" s="481">
        <f t="shared" si="0"/>
        <v>44088738580</v>
      </c>
      <c r="H14" s="481">
        <f t="shared" si="0"/>
        <v>40025433568</v>
      </c>
      <c r="I14" s="481">
        <f t="shared" si="0"/>
        <v>36851470148</v>
      </c>
    </row>
    <row r="15" spans="3:9" s="479" customFormat="1">
      <c r="D15" s="479" t="s">
        <v>508</v>
      </c>
      <c r="E15" s="480" t="e">
        <f>+E10-#REF!-E12</f>
        <v>#REF!</v>
      </c>
      <c r="F15" s="480" t="e">
        <f>+F10-#REF!-#REF!-F12</f>
        <v>#REF!</v>
      </c>
      <c r="G15" s="480" t="e">
        <f>+G10-#REF!-#REF!-G12</f>
        <v>#REF!</v>
      </c>
      <c r="H15" s="480" t="e">
        <f>+H10-H11-#REF!-#REF!-H12</f>
        <v>#REF!</v>
      </c>
      <c r="I15" s="480" t="e">
        <f>+I10-I11-#REF!-I12</f>
        <v>#REF!</v>
      </c>
    </row>
    <row r="16" spans="3:9">
      <c r="E16" s="482">
        <f>+'Tutup Defisit'!C23</f>
        <v>30233284008</v>
      </c>
      <c r="F16" s="482">
        <f>+'Tutup Defisit'!D23</f>
        <v>39779853651</v>
      </c>
      <c r="G16" s="482">
        <f>+'Tutup Defisit'!E23</f>
        <v>46221398450</v>
      </c>
      <c r="H16" s="482">
        <f>+'Tutup Defisit'!F23</f>
        <v>44156820949</v>
      </c>
      <c r="I16" s="482">
        <f>+'Tutup Defisit'!G23</f>
        <v>41776547255</v>
      </c>
    </row>
  </sheetData>
  <mergeCells count="3">
    <mergeCell ref="C4:I4"/>
    <mergeCell ref="C5:I5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4:J16"/>
  <sheetViews>
    <sheetView workbookViewId="0">
      <selection activeCell="G16" sqref="G16"/>
    </sheetView>
  </sheetViews>
  <sheetFormatPr defaultRowHeight="15"/>
  <cols>
    <col min="4" max="4" width="39.7109375" customWidth="1"/>
    <col min="5" max="5" width="18" hidden="1" customWidth="1"/>
    <col min="6" max="8" width="18" bestFit="1" customWidth="1"/>
    <col min="9" max="9" width="18" customWidth="1"/>
    <col min="10" max="10" width="18" bestFit="1" customWidth="1"/>
  </cols>
  <sheetData>
    <row r="4" spans="3:10">
      <c r="C4" s="521" t="s">
        <v>568</v>
      </c>
      <c r="D4" s="521"/>
      <c r="E4" s="521"/>
      <c r="F4" s="521"/>
      <c r="G4" s="521"/>
      <c r="H4" s="521"/>
      <c r="I4" s="521"/>
      <c r="J4" s="521"/>
    </row>
    <row r="5" spans="3:10">
      <c r="C5" s="521" t="s">
        <v>543</v>
      </c>
      <c r="D5" s="521"/>
      <c r="E5" s="521"/>
      <c r="F5" s="521"/>
      <c r="G5" s="521"/>
      <c r="H5" s="521"/>
      <c r="I5" s="521"/>
      <c r="J5" s="521"/>
    </row>
    <row r="6" spans="3:10">
      <c r="C6" s="521" t="s">
        <v>512</v>
      </c>
      <c r="D6" s="521"/>
      <c r="E6" s="521"/>
      <c r="F6" s="521"/>
      <c r="G6" s="521"/>
      <c r="H6" s="521"/>
      <c r="I6" s="521"/>
      <c r="J6" s="521"/>
    </row>
    <row r="8" spans="3:10" s="432" customFormat="1">
      <c r="C8" s="446" t="s">
        <v>106</v>
      </c>
      <c r="D8" s="446" t="s">
        <v>142</v>
      </c>
      <c r="E8" s="433">
        <v>2013</v>
      </c>
      <c r="F8" s="433">
        <v>2014</v>
      </c>
      <c r="G8" s="433">
        <v>2015</v>
      </c>
      <c r="H8" s="433">
        <v>2016</v>
      </c>
      <c r="I8" s="433">
        <v>2018</v>
      </c>
      <c r="J8" s="433">
        <v>2018</v>
      </c>
    </row>
    <row r="9" spans="3:10">
      <c r="C9" s="437"/>
      <c r="D9" s="437"/>
      <c r="E9" s="437"/>
      <c r="F9" s="437"/>
      <c r="G9" s="437"/>
      <c r="H9" s="437"/>
      <c r="I9" s="437"/>
      <c r="J9" s="437"/>
    </row>
    <row r="10" spans="3:10">
      <c r="C10" s="483">
        <v>1</v>
      </c>
      <c r="D10" s="437" t="s">
        <v>564</v>
      </c>
      <c r="E10" s="438">
        <v>27022418350</v>
      </c>
      <c r="F10" s="438">
        <v>31022418350</v>
      </c>
      <c r="G10" s="438">
        <v>31000000000</v>
      </c>
      <c r="H10" s="438">
        <v>31000000000</v>
      </c>
      <c r="I10" s="438">
        <v>31000000000</v>
      </c>
      <c r="J10" s="438">
        <v>31000000000</v>
      </c>
    </row>
    <row r="11" spans="3:10">
      <c r="C11" s="483"/>
      <c r="D11" s="437" t="s">
        <v>565</v>
      </c>
      <c r="E11" s="438"/>
      <c r="F11" s="438"/>
      <c r="G11" s="438"/>
      <c r="H11" s="438"/>
      <c r="I11" s="438"/>
      <c r="J11" s="438"/>
    </row>
    <row r="12" spans="3:10" ht="30">
      <c r="C12" s="483">
        <v>2</v>
      </c>
      <c r="D12" s="476" t="s">
        <v>562</v>
      </c>
      <c r="E12" s="477">
        <v>4000000000</v>
      </c>
      <c r="F12" s="477">
        <v>4000000000</v>
      </c>
      <c r="G12" s="477">
        <v>4000000000</v>
      </c>
      <c r="H12" s="477">
        <v>4000000000</v>
      </c>
      <c r="I12" s="477">
        <v>4000000000</v>
      </c>
      <c r="J12" s="477">
        <v>4000000000</v>
      </c>
    </row>
    <row r="13" spans="3:10">
      <c r="C13" s="483">
        <v>3</v>
      </c>
      <c r="D13" s="437" t="s">
        <v>563</v>
      </c>
      <c r="E13" s="438">
        <v>0</v>
      </c>
      <c r="F13" s="438">
        <v>0</v>
      </c>
      <c r="G13" s="438">
        <v>0</v>
      </c>
      <c r="H13" s="438"/>
      <c r="I13" s="438"/>
      <c r="J13" s="438">
        <v>0</v>
      </c>
    </row>
    <row r="14" spans="3:10">
      <c r="C14" s="484"/>
      <c r="D14" s="437" t="s">
        <v>566</v>
      </c>
      <c r="E14" s="481">
        <f>+E10-E12-E13</f>
        <v>23022418350</v>
      </c>
      <c r="F14" s="481">
        <f t="shared" ref="F14:H14" si="0">+F10-F12-F13</f>
        <v>27022418350</v>
      </c>
      <c r="G14" s="481">
        <f t="shared" si="0"/>
        <v>27000000000</v>
      </c>
      <c r="H14" s="481">
        <f t="shared" si="0"/>
        <v>27000000000</v>
      </c>
      <c r="I14" s="481">
        <f t="shared" ref="I14" si="1">+I10-I12-I13</f>
        <v>27000000000</v>
      </c>
      <c r="J14" s="481">
        <f t="shared" ref="J14" si="2">+J10-J12-J13</f>
        <v>27000000000</v>
      </c>
    </row>
    <row r="15" spans="3:10" s="479" customFormat="1">
      <c r="D15" s="479" t="s">
        <v>508</v>
      </c>
      <c r="E15" s="480" t="e">
        <f>+E10-#REF!-E12</f>
        <v>#REF!</v>
      </c>
      <c r="F15" s="480" t="e">
        <f>+F10-#REF!-#REF!-F12</f>
        <v>#REF!</v>
      </c>
      <c r="G15" s="480" t="e">
        <f>+G10-#REF!-#REF!-G12</f>
        <v>#REF!</v>
      </c>
      <c r="H15" s="480" t="e">
        <f>+H10-H11-#REF!-#REF!-H12</f>
        <v>#REF!</v>
      </c>
      <c r="I15" s="480"/>
      <c r="J15" s="480" t="e">
        <f>+J10-J11-#REF!-J12</f>
        <v>#REF!</v>
      </c>
    </row>
    <row r="16" spans="3:10">
      <c r="E16" s="482">
        <f>+'Tutup Defisit'!C23</f>
        <v>30233284008</v>
      </c>
      <c r="F16" s="482">
        <f>+'Tutup Defisit'!D23</f>
        <v>39779853651</v>
      </c>
      <c r="G16" s="482">
        <f>+'Tutup Defisit'!E23</f>
        <v>46221398450</v>
      </c>
      <c r="H16" s="482">
        <f>+'Tutup Defisit'!F23</f>
        <v>44156820949</v>
      </c>
      <c r="I16" s="482"/>
      <c r="J16" s="482">
        <f>+'Tutup Defisit'!G23</f>
        <v>41776547255</v>
      </c>
    </row>
  </sheetData>
  <mergeCells count="3">
    <mergeCell ref="C4:J4"/>
    <mergeCell ref="C5:J5"/>
    <mergeCell ref="C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4:L22"/>
  <sheetViews>
    <sheetView topLeftCell="A6" workbookViewId="0">
      <selection activeCell="F17" sqref="F17"/>
    </sheetView>
  </sheetViews>
  <sheetFormatPr defaultRowHeight="15"/>
  <cols>
    <col min="4" max="4" width="35" customWidth="1"/>
    <col min="5" max="5" width="18.7109375" hidden="1" customWidth="1"/>
    <col min="6" max="10" width="18.7109375" customWidth="1"/>
  </cols>
  <sheetData>
    <row r="4" spans="3:10" ht="15.75">
      <c r="C4" s="512" t="s">
        <v>570</v>
      </c>
      <c r="D4" s="512"/>
      <c r="E4" s="512"/>
      <c r="F4" s="512"/>
      <c r="G4" s="512"/>
      <c r="H4" s="512"/>
      <c r="I4" s="512"/>
      <c r="J4" s="512"/>
    </row>
    <row r="5" spans="3:10" ht="15.75">
      <c r="C5" s="512" t="s">
        <v>571</v>
      </c>
      <c r="D5" s="512"/>
      <c r="E5" s="512"/>
      <c r="F5" s="512"/>
      <c r="G5" s="512"/>
      <c r="H5" s="512"/>
      <c r="I5" s="512"/>
      <c r="J5" s="512"/>
    </row>
    <row r="6" spans="3:10" ht="15.75">
      <c r="C6" s="512" t="s">
        <v>512</v>
      </c>
      <c r="D6" s="512"/>
      <c r="E6" s="512"/>
      <c r="F6" s="512"/>
      <c r="G6" s="512"/>
      <c r="H6" s="512"/>
      <c r="I6" s="512"/>
      <c r="J6" s="512"/>
    </row>
    <row r="9" spans="3:10" ht="15.75" customHeight="1">
      <c r="C9" s="533" t="s">
        <v>106</v>
      </c>
      <c r="D9" s="520" t="s">
        <v>142</v>
      </c>
      <c r="E9" s="532" t="s">
        <v>572</v>
      </c>
      <c r="F9" s="532"/>
      <c r="G9" s="532"/>
      <c r="H9" s="532"/>
      <c r="I9" s="532"/>
      <c r="J9" s="532"/>
    </row>
    <row r="10" spans="3:10">
      <c r="C10" s="533"/>
      <c r="D10" s="520"/>
      <c r="E10" s="433">
        <v>2013</v>
      </c>
      <c r="F10" s="433">
        <v>2014</v>
      </c>
      <c r="G10" s="433">
        <v>2015</v>
      </c>
      <c r="H10" s="433">
        <v>2016</v>
      </c>
      <c r="I10" s="433">
        <v>2017</v>
      </c>
      <c r="J10" s="433">
        <v>2018</v>
      </c>
    </row>
    <row r="11" spans="3:10">
      <c r="C11" s="437"/>
      <c r="D11" s="437"/>
      <c r="E11" s="437"/>
      <c r="F11" s="437"/>
      <c r="G11" s="437"/>
      <c r="H11" s="437"/>
      <c r="I11" s="437"/>
      <c r="J11" s="437"/>
    </row>
    <row r="12" spans="3:10">
      <c r="C12" s="448">
        <v>1</v>
      </c>
      <c r="D12" s="437" t="s">
        <v>573</v>
      </c>
      <c r="E12" s="438">
        <f>+'Kap Riil'!C6</f>
        <v>1039172438000</v>
      </c>
      <c r="F12" s="438">
        <f>+'Kap Riil'!D6</f>
        <v>1133980164950</v>
      </c>
      <c r="G12" s="438">
        <f>+'Kap Riil'!E6</f>
        <v>1248007530999.5481</v>
      </c>
      <c r="H12" s="438">
        <f>+'Kap Riil'!F6</f>
        <v>1317992595000.4731</v>
      </c>
      <c r="I12" s="438">
        <f>+'Kap Riil'!G6</f>
        <v>1383602906000.0952</v>
      </c>
      <c r="J12" s="438">
        <f>+'Kap Riil'!H6</f>
        <v>1464813082250.4517</v>
      </c>
    </row>
    <row r="13" spans="3:10">
      <c r="C13" s="448">
        <v>2</v>
      </c>
      <c r="D13" s="437" t="s">
        <v>457</v>
      </c>
      <c r="E13" s="438">
        <f>+'Rencana Pembiayaan'!C9</f>
        <v>10426478900</v>
      </c>
      <c r="F13" s="438">
        <v>0</v>
      </c>
      <c r="G13" s="438">
        <v>0</v>
      </c>
      <c r="H13" s="438">
        <v>0</v>
      </c>
      <c r="I13" s="438">
        <v>0</v>
      </c>
      <c r="J13" s="438">
        <f>+'Kap Riil'!H45</f>
        <v>16000000000</v>
      </c>
    </row>
    <row r="14" spans="3:10">
      <c r="C14" s="448">
        <v>3</v>
      </c>
      <c r="D14" s="437" t="s">
        <v>574</v>
      </c>
      <c r="E14" s="438">
        <f>+'Proyeksi Silpa Riil'!E14</f>
        <v>23022418350</v>
      </c>
      <c r="F14" s="438">
        <f>+'Proyeksi Silpa Riil'!F14</f>
        <v>27022418350</v>
      </c>
      <c r="G14" s="438">
        <f>+'Proyeksi Silpa Riil'!G14</f>
        <v>27000000000</v>
      </c>
      <c r="H14" s="438">
        <f>+'Proyeksi Silpa Riil'!H14</f>
        <v>27000000000</v>
      </c>
      <c r="I14" s="438">
        <f>+'Proyeksi Silpa Riil'!I14</f>
        <v>27000000000</v>
      </c>
      <c r="J14" s="438">
        <f>+'Proyeksi Silpa Riil'!J14</f>
        <v>27000000000</v>
      </c>
    </row>
    <row r="15" spans="3:10">
      <c r="C15" s="448">
        <v>4</v>
      </c>
      <c r="D15" s="437" t="s">
        <v>579</v>
      </c>
      <c r="E15" s="438">
        <v>4000000000</v>
      </c>
      <c r="F15" s="438">
        <v>4000000000</v>
      </c>
      <c r="G15" s="438">
        <v>4000000000</v>
      </c>
      <c r="H15" s="438">
        <v>4000000000</v>
      </c>
      <c r="I15" s="438">
        <v>4000000000</v>
      </c>
      <c r="J15" s="438">
        <v>4000000000</v>
      </c>
    </row>
    <row r="16" spans="3:10">
      <c r="C16" s="448">
        <v>5</v>
      </c>
      <c r="D16" s="437" t="s">
        <v>580</v>
      </c>
      <c r="E16" s="438">
        <v>0</v>
      </c>
      <c r="F16" s="438">
        <v>76500000000</v>
      </c>
      <c r="G16" s="438">
        <v>13500000000</v>
      </c>
      <c r="H16" s="438">
        <v>0</v>
      </c>
      <c r="I16" s="438">
        <v>0</v>
      </c>
      <c r="J16" s="438">
        <v>0</v>
      </c>
    </row>
    <row r="17" spans="3:12">
      <c r="C17" s="448" t="s">
        <v>8</v>
      </c>
      <c r="D17" s="437" t="s">
        <v>575</v>
      </c>
      <c r="E17" s="438">
        <f>SUM(E12:E16)</f>
        <v>1076621335250</v>
      </c>
      <c r="F17" s="438">
        <f>SUM(F12:F16)</f>
        <v>1241502583300</v>
      </c>
      <c r="G17" s="438">
        <f>SUM(G12:G16)</f>
        <v>1292507530999.5481</v>
      </c>
      <c r="H17" s="438">
        <f t="shared" ref="H17:J17" si="0">SUM(H12:H16)</f>
        <v>1348992595000.4731</v>
      </c>
      <c r="I17" s="438">
        <f t="shared" si="0"/>
        <v>1414602906000.0952</v>
      </c>
      <c r="J17" s="438">
        <f t="shared" si="0"/>
        <v>1511813082250.4517</v>
      </c>
    </row>
    <row r="18" spans="3:12">
      <c r="C18" s="448" t="s">
        <v>8</v>
      </c>
      <c r="D18" s="508" t="s">
        <v>565</v>
      </c>
      <c r="E18" s="438"/>
      <c r="F18" s="438"/>
      <c r="G18" s="438"/>
      <c r="H18" s="438"/>
      <c r="I18" s="438"/>
      <c r="J18" s="438"/>
    </row>
    <row r="19" spans="3:12" ht="45">
      <c r="C19" s="483">
        <v>6</v>
      </c>
      <c r="D19" s="488" t="s">
        <v>576</v>
      </c>
      <c r="E19" s="477">
        <f>+'Proyeksi Wajib dan mengikat '!J30</f>
        <v>660510797668</v>
      </c>
      <c r="F19" s="477">
        <f>+'Proyeksi Wajib dan mengikat '!K30</f>
        <v>69970654324</v>
      </c>
      <c r="G19" s="477">
        <f>+'Proyeksi Wajib dan mengikat '!L30</f>
        <v>93117291242.454483</v>
      </c>
      <c r="H19" s="477">
        <f>+'Proyeksi Wajib dan mengikat '!M30</f>
        <v>107144101959.12357</v>
      </c>
      <c r="I19" s="477">
        <f>+'Proyeksi Wajib dan mengikat '!N30</f>
        <v>106733393525.84424</v>
      </c>
      <c r="J19" s="477">
        <f>+'Proyeksi Wajib dan mengikat '!O30</f>
        <v>99566596463.852478</v>
      </c>
    </row>
    <row r="20" spans="3:12">
      <c r="C20" s="448" t="s">
        <v>8</v>
      </c>
      <c r="D20" s="437" t="s">
        <v>8</v>
      </c>
      <c r="E20" s="438"/>
      <c r="F20" s="438"/>
      <c r="G20" s="438"/>
      <c r="H20" s="438"/>
      <c r="I20" s="438"/>
      <c r="J20" s="438"/>
    </row>
    <row r="21" spans="3:12">
      <c r="C21" s="448" t="s">
        <v>8</v>
      </c>
      <c r="D21" s="437" t="s">
        <v>577</v>
      </c>
      <c r="E21" s="438">
        <f>+E17-E19</f>
        <v>416110537582</v>
      </c>
      <c r="F21" s="438">
        <f t="shared" ref="F21:J21" si="1">+F17-F19</f>
        <v>1171531928976</v>
      </c>
      <c r="G21" s="438">
        <f t="shared" si="1"/>
        <v>1199390239757.0935</v>
      </c>
      <c r="H21" s="438">
        <f t="shared" si="1"/>
        <v>1241848493041.3496</v>
      </c>
      <c r="I21" s="438">
        <f t="shared" si="1"/>
        <v>1307869512474.251</v>
      </c>
      <c r="J21" s="438">
        <f t="shared" si="1"/>
        <v>1412246485786.5991</v>
      </c>
    </row>
    <row r="22" spans="3:12">
      <c r="F22" s="509">
        <f>F21/F17*100</f>
        <v>94.364034737808339</v>
      </c>
      <c r="G22" s="509">
        <f t="shared" ref="G22:I22" si="2">G21/G17*100</f>
        <v>92.795609386473501</v>
      </c>
      <c r="H22" s="509">
        <f t="shared" si="2"/>
        <v>92.057472935269445</v>
      </c>
      <c r="I22" s="509">
        <f t="shared" si="2"/>
        <v>92.454886592334134</v>
      </c>
      <c r="J22" s="509">
        <f>J21/J17*100</f>
        <v>93.414093472743346</v>
      </c>
      <c r="L22" s="509"/>
    </row>
  </sheetData>
  <mergeCells count="6">
    <mergeCell ref="E9:J9"/>
    <mergeCell ref="D9:D10"/>
    <mergeCell ref="C9:C10"/>
    <mergeCell ref="C4:J4"/>
    <mergeCell ref="C5:J5"/>
    <mergeCell ref="C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2:J56"/>
  <sheetViews>
    <sheetView topLeftCell="A27" workbookViewId="0">
      <selection activeCell="D35" sqref="D35"/>
    </sheetView>
  </sheetViews>
  <sheetFormatPr defaultRowHeight="15"/>
  <cols>
    <col min="4" max="4" width="39.140625" customWidth="1"/>
    <col min="5" max="5" width="2.42578125" hidden="1" customWidth="1"/>
    <col min="6" max="10" width="18.7109375" customWidth="1"/>
  </cols>
  <sheetData>
    <row r="2" spans="3:10" hidden="1"/>
    <row r="3" spans="3:10" hidden="1"/>
    <row r="4" spans="3:10" ht="15.75" hidden="1">
      <c r="C4" s="512" t="s">
        <v>581</v>
      </c>
      <c r="D4" s="512"/>
      <c r="E4" s="512"/>
      <c r="F4" s="512"/>
      <c r="G4" s="512"/>
      <c r="H4" s="512"/>
      <c r="I4" s="512"/>
      <c r="J4" s="512"/>
    </row>
    <row r="5" spans="3:10" ht="15.75" hidden="1">
      <c r="C5" s="512" t="s">
        <v>512</v>
      </c>
      <c r="D5" s="512"/>
      <c r="E5" s="512"/>
      <c r="F5" s="512"/>
      <c r="G5" s="512"/>
      <c r="H5" s="512"/>
      <c r="I5" s="512"/>
      <c r="J5" s="512"/>
    </row>
    <row r="6" spans="3:10" hidden="1"/>
    <row r="7" spans="3:10" hidden="1"/>
    <row r="8" spans="3:10" ht="15.75" hidden="1" customHeight="1">
      <c r="C8" s="533" t="s">
        <v>106</v>
      </c>
      <c r="D8" s="520" t="s">
        <v>142</v>
      </c>
      <c r="E8" s="532" t="s">
        <v>572</v>
      </c>
      <c r="F8" s="532"/>
      <c r="G8" s="532"/>
      <c r="H8" s="532"/>
      <c r="I8" s="532"/>
      <c r="J8" s="532"/>
    </row>
    <row r="9" spans="3:10" hidden="1">
      <c r="C9" s="533"/>
      <c r="D9" s="520"/>
      <c r="E9" s="433">
        <v>2013</v>
      </c>
      <c r="F9" s="433">
        <v>2014</v>
      </c>
      <c r="G9" s="433">
        <v>2015</v>
      </c>
      <c r="H9" s="433">
        <v>2016</v>
      </c>
      <c r="I9" s="433">
        <v>2017</v>
      </c>
      <c r="J9" s="433">
        <v>2018</v>
      </c>
    </row>
    <row r="10" spans="3:10" hidden="1">
      <c r="C10" s="437"/>
      <c r="D10" s="437"/>
      <c r="E10" s="437"/>
      <c r="F10" s="437"/>
      <c r="G10" s="437"/>
      <c r="H10" s="437"/>
      <c r="I10" s="437"/>
      <c r="J10" s="437"/>
    </row>
    <row r="11" spans="3:10" hidden="1">
      <c r="C11" s="448">
        <v>1</v>
      </c>
      <c r="D11" s="437" t="s">
        <v>573</v>
      </c>
      <c r="E11" s="438">
        <f>+'Kap Riil'!C6</f>
        <v>1039172438000</v>
      </c>
      <c r="F11" s="438">
        <f>+'Kap Riil'!D6</f>
        <v>1133980164950</v>
      </c>
      <c r="G11" s="438">
        <f>+'Kap Riil'!E6</f>
        <v>1248007530999.5481</v>
      </c>
      <c r="H11" s="438">
        <f>+'Kap Riil'!F6</f>
        <v>1317992595000.4731</v>
      </c>
      <c r="I11" s="438">
        <f>+'Kap Riil'!G6</f>
        <v>1383602906000.0952</v>
      </c>
      <c r="J11" s="438">
        <f>+'Kap Riil'!H6</f>
        <v>1464813082250.4517</v>
      </c>
    </row>
    <row r="12" spans="3:10" hidden="1">
      <c r="C12" s="448">
        <v>2</v>
      </c>
      <c r="D12" s="437" t="s">
        <v>457</v>
      </c>
      <c r="E12" s="438">
        <f>+'Rencana Pembiayaan'!C9</f>
        <v>10426478900</v>
      </c>
      <c r="F12" s="438">
        <v>0</v>
      </c>
      <c r="G12" s="438">
        <v>0</v>
      </c>
      <c r="H12" s="438">
        <v>0</v>
      </c>
      <c r="I12" s="438">
        <v>0</v>
      </c>
      <c r="J12" s="438">
        <f>+'Kap Riil'!H45</f>
        <v>16000000000</v>
      </c>
    </row>
    <row r="13" spans="3:10" hidden="1">
      <c r="C13" s="448">
        <v>3</v>
      </c>
      <c r="D13" s="437" t="s">
        <v>574</v>
      </c>
      <c r="E13" s="438">
        <f>+'Proyeksi Silpa Riil'!E14</f>
        <v>23022418350</v>
      </c>
      <c r="F13" s="438">
        <f>+'Proyeksi Silpa Riil'!F14</f>
        <v>27022418350</v>
      </c>
      <c r="G13" s="438">
        <f>+'Proyeksi Silpa Riil'!G14</f>
        <v>27000000000</v>
      </c>
      <c r="H13" s="438">
        <f>+'Proyeksi Silpa Riil'!H14</f>
        <v>27000000000</v>
      </c>
      <c r="I13" s="438">
        <f>+'Proyeksi Silpa Riil'!I14</f>
        <v>27000000000</v>
      </c>
      <c r="J13" s="438">
        <f>+'Proyeksi Silpa Riil'!J14</f>
        <v>27000000000</v>
      </c>
    </row>
    <row r="14" spans="3:10" hidden="1">
      <c r="C14" s="448">
        <v>4</v>
      </c>
      <c r="D14" s="437" t="s">
        <v>579</v>
      </c>
      <c r="E14" s="438">
        <v>4000000000</v>
      </c>
      <c r="F14" s="438">
        <v>4000000000</v>
      </c>
      <c r="G14" s="438">
        <v>4000000000</v>
      </c>
      <c r="H14" s="438">
        <v>4000000000</v>
      </c>
      <c r="I14" s="438">
        <v>4000000000</v>
      </c>
      <c r="J14" s="438">
        <v>4000000000</v>
      </c>
    </row>
    <row r="15" spans="3:10" hidden="1">
      <c r="C15" s="448">
        <v>5</v>
      </c>
      <c r="D15" s="437" t="s">
        <v>580</v>
      </c>
      <c r="E15" s="438">
        <v>0</v>
      </c>
      <c r="F15" s="438">
        <v>76500000000</v>
      </c>
      <c r="G15" s="438">
        <v>13500000000</v>
      </c>
      <c r="H15" s="438">
        <v>0</v>
      </c>
      <c r="I15" s="438">
        <v>0</v>
      </c>
      <c r="J15" s="438">
        <v>0</v>
      </c>
    </row>
    <row r="16" spans="3:10" hidden="1">
      <c r="C16" s="448" t="s">
        <v>8</v>
      </c>
      <c r="D16" s="437" t="s">
        <v>575</v>
      </c>
      <c r="E16" s="438">
        <f>SUM(E11:E15)</f>
        <v>1076621335250</v>
      </c>
      <c r="F16" s="438">
        <f>SUM(F11:F15)</f>
        <v>1241502583300</v>
      </c>
      <c r="G16" s="438">
        <f>SUM(G11:G15)</f>
        <v>1292507530999.5481</v>
      </c>
      <c r="H16" s="438">
        <f t="shared" ref="H16:J16" si="0">SUM(H11:H15)</f>
        <v>1348992595000.4731</v>
      </c>
      <c r="I16" s="438">
        <f t="shared" si="0"/>
        <v>1414602906000.0952</v>
      </c>
      <c r="J16" s="438">
        <f t="shared" si="0"/>
        <v>1511813082250.4517</v>
      </c>
    </row>
    <row r="17" spans="3:10" hidden="1">
      <c r="C17" s="448" t="s">
        <v>8</v>
      </c>
      <c r="D17" s="437" t="s">
        <v>565</v>
      </c>
      <c r="E17" s="438"/>
      <c r="F17" s="438"/>
      <c r="G17" s="438"/>
      <c r="H17" s="438"/>
      <c r="I17" s="438"/>
      <c r="J17" s="438"/>
    </row>
    <row r="18" spans="3:10" ht="45" hidden="1">
      <c r="C18" s="483">
        <v>6</v>
      </c>
      <c r="D18" s="488" t="s">
        <v>576</v>
      </c>
      <c r="E18" s="477">
        <f>+'Proyeksi Wajib dan mengikat '!J30</f>
        <v>660510797668</v>
      </c>
      <c r="F18" s="477">
        <f>+'Proyeksi Wajib dan mengikat '!K30</f>
        <v>69970654324</v>
      </c>
      <c r="G18" s="477">
        <f>+'Proyeksi Wajib dan mengikat '!L30</f>
        <v>93117291242.454483</v>
      </c>
      <c r="H18" s="477">
        <f>+'Proyeksi Wajib dan mengikat '!M30</f>
        <v>107144101959.12357</v>
      </c>
      <c r="I18" s="477">
        <f>+'Proyeksi Wajib dan mengikat '!N30</f>
        <v>106733393525.84424</v>
      </c>
      <c r="J18" s="477">
        <f>+'Proyeksi Wajib dan mengikat '!O30</f>
        <v>99566596463.852478</v>
      </c>
    </row>
    <row r="19" spans="3:10" hidden="1">
      <c r="C19" s="448" t="s">
        <v>8</v>
      </c>
      <c r="D19" s="437" t="s">
        <v>8</v>
      </c>
      <c r="E19" s="438"/>
      <c r="F19" s="438"/>
      <c r="G19" s="438"/>
      <c r="H19" s="438"/>
      <c r="I19" s="438"/>
      <c r="J19" s="438"/>
    </row>
    <row r="20" spans="3:10" hidden="1">
      <c r="C20" s="448" t="s">
        <v>8</v>
      </c>
      <c r="D20" s="437" t="s">
        <v>577</v>
      </c>
      <c r="E20" s="438">
        <f>+E16-E18</f>
        <v>416110537582</v>
      </c>
      <c r="F20" s="438">
        <f t="shared" ref="F20:J20" si="1">+F16-F18</f>
        <v>1171531928976</v>
      </c>
      <c r="G20" s="438">
        <f t="shared" si="1"/>
        <v>1199390239757.0935</v>
      </c>
      <c r="H20" s="438">
        <f t="shared" si="1"/>
        <v>1241848493041.3496</v>
      </c>
      <c r="I20" s="438">
        <f t="shared" si="1"/>
        <v>1307869512474.251</v>
      </c>
      <c r="J20" s="438">
        <f t="shared" si="1"/>
        <v>1412246485786.5991</v>
      </c>
    </row>
    <row r="21" spans="3:10" hidden="1"/>
    <row r="23" spans="3:10">
      <c r="C23" s="521" t="s">
        <v>581</v>
      </c>
      <c r="D23" s="521"/>
      <c r="E23" s="521"/>
      <c r="F23" s="521"/>
      <c r="G23" s="521"/>
      <c r="H23" s="521"/>
      <c r="I23" s="521"/>
      <c r="J23" s="521"/>
    </row>
    <row r="24" spans="3:10">
      <c r="C24" s="521" t="s">
        <v>512</v>
      </c>
      <c r="D24" s="521"/>
      <c r="E24" s="521"/>
      <c r="F24" s="521"/>
      <c r="G24" s="521"/>
      <c r="H24" s="521"/>
      <c r="I24" s="521"/>
      <c r="J24" s="521"/>
    </row>
    <row r="26" spans="3:10" ht="15.75" customHeight="1">
      <c r="C26" s="533" t="s">
        <v>106</v>
      </c>
      <c r="D26" s="520" t="s">
        <v>142</v>
      </c>
      <c r="E26" s="532" t="s">
        <v>572</v>
      </c>
      <c r="F26" s="532"/>
      <c r="G26" s="532"/>
      <c r="H26" s="532"/>
      <c r="I26" s="532"/>
      <c r="J26" s="532"/>
    </row>
    <row r="27" spans="3:10">
      <c r="C27" s="533"/>
      <c r="D27" s="520"/>
      <c r="E27" s="433">
        <v>2013</v>
      </c>
      <c r="F27" s="433">
        <v>2014</v>
      </c>
      <c r="G27" s="433">
        <v>2015</v>
      </c>
      <c r="H27" s="433">
        <v>2016</v>
      </c>
      <c r="I27" s="433">
        <v>2017</v>
      </c>
      <c r="J27" s="433">
        <v>2018</v>
      </c>
    </row>
    <row r="28" spans="3:10">
      <c r="C28" s="437"/>
      <c r="D28" s="437"/>
      <c r="E28" s="437"/>
      <c r="F28" s="437"/>
      <c r="G28" s="437"/>
      <c r="H28" s="437"/>
      <c r="I28" s="437"/>
      <c r="J28" s="437"/>
    </row>
    <row r="29" spans="3:10">
      <c r="C29" s="484" t="s">
        <v>16</v>
      </c>
      <c r="D29" s="438" t="str">
        <f>+D20</f>
        <v>Kapasitas Riil Kemampuan Keuangan</v>
      </c>
      <c r="E29" s="438">
        <f t="shared" ref="E29:J29" si="2">+E20</f>
        <v>416110537582</v>
      </c>
      <c r="F29" s="438">
        <f t="shared" si="2"/>
        <v>1171531928976</v>
      </c>
      <c r="G29" s="438">
        <f t="shared" si="2"/>
        <v>1199390239757.0935</v>
      </c>
      <c r="H29" s="438">
        <f t="shared" si="2"/>
        <v>1241848493041.3496</v>
      </c>
      <c r="I29" s="438">
        <f t="shared" si="2"/>
        <v>1307869512474.251</v>
      </c>
      <c r="J29" s="438">
        <f t="shared" si="2"/>
        <v>1412246485786.5991</v>
      </c>
    </row>
    <row r="30" spans="3:10">
      <c r="C30" s="484"/>
      <c r="D30" s="437" t="s">
        <v>609</v>
      </c>
      <c r="E30" s="437"/>
      <c r="F30" s="437"/>
      <c r="G30" s="437"/>
      <c r="H30" s="437"/>
      <c r="I30" s="437"/>
      <c r="J30" s="437"/>
    </row>
    <row r="31" spans="3:10">
      <c r="C31" s="484" t="s">
        <v>582</v>
      </c>
      <c r="D31" s="437" t="s">
        <v>583</v>
      </c>
      <c r="E31" s="437"/>
      <c r="F31" s="438">
        <f>+'APBD (2)'!J37</f>
        <v>471362007854</v>
      </c>
      <c r="G31" s="438">
        <f>+'APBD (2)'!K37</f>
        <v>428134238000</v>
      </c>
      <c r="H31" s="438">
        <f>+'APBD (2)'!L37</f>
        <v>429074036000</v>
      </c>
      <c r="I31" s="438">
        <f>+'APBD (2)'!M37</f>
        <v>445434697000</v>
      </c>
      <c r="J31" s="438">
        <f>+'APBD (2)'!N37</f>
        <v>477503756000</v>
      </c>
    </row>
    <row r="32" spans="3:10">
      <c r="C32" s="484" t="s">
        <v>584</v>
      </c>
      <c r="D32" s="437" t="s">
        <v>3</v>
      </c>
      <c r="E32" s="437"/>
      <c r="F32" s="438"/>
      <c r="G32" s="438"/>
      <c r="H32" s="438">
        <v>0</v>
      </c>
      <c r="I32" s="438">
        <v>0</v>
      </c>
      <c r="J32" s="438">
        <v>0</v>
      </c>
    </row>
    <row r="33" spans="3:10">
      <c r="C33" s="484"/>
      <c r="D33" s="437" t="s">
        <v>565</v>
      </c>
      <c r="E33" s="437"/>
      <c r="F33" s="438"/>
      <c r="G33" s="438"/>
      <c r="H33" s="438"/>
      <c r="I33" s="438"/>
      <c r="J33" s="438"/>
    </row>
    <row r="34" spans="3:10" ht="30">
      <c r="C34" s="484" t="s">
        <v>586</v>
      </c>
      <c r="D34" s="476" t="s">
        <v>585</v>
      </c>
      <c r="E34" s="437"/>
      <c r="F34" s="477">
        <f>+'APBD (2)'!J39</f>
        <v>54966654324</v>
      </c>
      <c r="G34" s="477">
        <f>+'APBD (2)'!K39</f>
        <v>56112457242.454483</v>
      </c>
      <c r="H34" s="477">
        <f>+'APBD (2)'!L39</f>
        <v>57208101959.123573</v>
      </c>
      <c r="I34" s="477">
        <f>+'APBD (2)'!M39</f>
        <v>58325393525.844246</v>
      </c>
      <c r="J34" s="477">
        <f>+'APBD (2)'!N39</f>
        <v>60186596463.852478</v>
      </c>
    </row>
    <row r="35" spans="3:10" ht="30">
      <c r="C35" s="484" t="s">
        <v>587</v>
      </c>
      <c r="D35" s="476" t="s">
        <v>588</v>
      </c>
      <c r="E35" s="437"/>
      <c r="F35" s="477">
        <v>0</v>
      </c>
      <c r="G35" s="477">
        <v>0</v>
      </c>
      <c r="H35" s="477">
        <v>0</v>
      </c>
      <c r="I35" s="477">
        <v>0</v>
      </c>
      <c r="J35" s="477">
        <v>0</v>
      </c>
    </row>
    <row r="36" spans="3:10" ht="30">
      <c r="C36" s="484" t="s">
        <v>17</v>
      </c>
      <c r="D36" s="476" t="s">
        <v>606</v>
      </c>
      <c r="E36" s="437"/>
      <c r="F36" s="492">
        <f>+F31+F32-F34-F35</f>
        <v>416395353530</v>
      </c>
      <c r="G36" s="492">
        <f t="shared" ref="G36:J36" si="3">+G31+G32-G34-G35</f>
        <v>372021780757.54553</v>
      </c>
      <c r="H36" s="492">
        <f t="shared" si="3"/>
        <v>371865934040.8764</v>
      </c>
      <c r="I36" s="492">
        <f t="shared" si="3"/>
        <v>387109303474.15576</v>
      </c>
      <c r="J36" s="492">
        <f t="shared" si="3"/>
        <v>417317159536.14752</v>
      </c>
    </row>
    <row r="37" spans="3:10" ht="45">
      <c r="C37" s="484"/>
      <c r="D37" s="476" t="s">
        <v>589</v>
      </c>
      <c r="E37" s="437"/>
      <c r="F37" s="492">
        <f>+F29-F36</f>
        <v>755136575446</v>
      </c>
      <c r="G37" s="492">
        <f>+G29-G36</f>
        <v>827368458999.54797</v>
      </c>
      <c r="H37" s="492">
        <f>+H29-H36</f>
        <v>869982559000.47314</v>
      </c>
      <c r="I37" s="492">
        <f>+I29-I36</f>
        <v>920760209000.09521</v>
      </c>
      <c r="J37" s="492">
        <f>+J29-J36</f>
        <v>994929326250.45166</v>
      </c>
    </row>
    <row r="38" spans="3:10">
      <c r="C38" s="484"/>
      <c r="D38" s="488" t="s">
        <v>607</v>
      </c>
      <c r="E38" s="437"/>
      <c r="F38" s="438"/>
      <c r="G38" s="438"/>
      <c r="H38" s="438"/>
      <c r="I38" s="438"/>
      <c r="J38" s="438"/>
    </row>
    <row r="39" spans="3:10">
      <c r="C39" s="484" t="s">
        <v>590</v>
      </c>
      <c r="D39" s="476" t="s">
        <v>593</v>
      </c>
      <c r="E39" s="437"/>
      <c r="F39" s="438">
        <f>+APBD!J24</f>
        <v>761640575446</v>
      </c>
      <c r="G39" s="438">
        <f>+APBD!L24</f>
        <v>837373293000.33337</v>
      </c>
      <c r="H39" s="438">
        <f>+APBD!N24</f>
        <v>879418559000</v>
      </c>
      <c r="I39" s="438">
        <f>+APBD!P24</f>
        <v>928668209000.375</v>
      </c>
      <c r="J39" s="438">
        <f>+APBD!R24</f>
        <v>1001309326250.2969</v>
      </c>
    </row>
    <row r="40" spans="3:10">
      <c r="C40" s="484"/>
      <c r="D40" s="476" t="s">
        <v>565</v>
      </c>
      <c r="E40" s="437"/>
      <c r="F40" s="438"/>
      <c r="G40" s="438"/>
      <c r="H40" s="438"/>
      <c r="I40" s="438"/>
      <c r="J40" s="438"/>
    </row>
    <row r="41" spans="3:10" ht="30">
      <c r="C41" s="484" t="s">
        <v>592</v>
      </c>
      <c r="D41" s="476" t="s">
        <v>591</v>
      </c>
      <c r="E41" s="437"/>
      <c r="F41" s="477">
        <f>+'Proyeksi Wajib dan mengikat '!K9</f>
        <v>6504000000</v>
      </c>
      <c r="G41" s="477">
        <f>+'Proyeksi Wajib dan mengikat '!L9</f>
        <v>10004834000</v>
      </c>
      <c r="H41" s="477">
        <f>+'Proyeksi Wajib dan mengikat '!M9</f>
        <v>9436000000</v>
      </c>
      <c r="I41" s="477">
        <f>+'Proyeksi Wajib dan mengikat '!N9</f>
        <v>7908000000</v>
      </c>
      <c r="J41" s="477">
        <f>+'Proyeksi Wajib dan mengikat '!O9</f>
        <v>6380000000</v>
      </c>
    </row>
    <row r="42" spans="3:10">
      <c r="C42" s="484" t="s">
        <v>18</v>
      </c>
      <c r="D42" s="493" t="s">
        <v>608</v>
      </c>
      <c r="E42" s="493"/>
      <c r="F42" s="494">
        <f>+F39-F41</f>
        <v>755136575446</v>
      </c>
      <c r="G42" s="494">
        <f t="shared" ref="G42:J42" si="4">+G39-G41</f>
        <v>827368459000.33337</v>
      </c>
      <c r="H42" s="494">
        <f t="shared" si="4"/>
        <v>869982559000</v>
      </c>
      <c r="I42" s="494">
        <f t="shared" si="4"/>
        <v>920760209000.375</v>
      </c>
      <c r="J42" s="494">
        <f t="shared" si="4"/>
        <v>994929326250.29687</v>
      </c>
    </row>
    <row r="43" spans="3:10">
      <c r="C43" s="437"/>
      <c r="D43" s="493"/>
      <c r="E43" s="493"/>
      <c r="F43" s="494"/>
      <c r="G43" s="494"/>
      <c r="H43" s="494"/>
      <c r="I43" s="494"/>
      <c r="J43" s="494"/>
    </row>
    <row r="44" spans="3:10">
      <c r="C44" s="437"/>
      <c r="D44" s="493" t="s">
        <v>594</v>
      </c>
      <c r="E44" s="493"/>
      <c r="F44" s="494">
        <f>+F37-F42</f>
        <v>0</v>
      </c>
      <c r="G44" s="494">
        <v>0</v>
      </c>
      <c r="H44" s="494">
        <v>0</v>
      </c>
      <c r="I44" s="494">
        <v>0</v>
      </c>
      <c r="J44" s="494">
        <v>0</v>
      </c>
    </row>
    <row r="45" spans="3:10">
      <c r="F45" s="3"/>
      <c r="G45" s="3"/>
      <c r="H45" s="3"/>
      <c r="I45" s="3"/>
      <c r="J45" s="3"/>
    </row>
    <row r="46" spans="3:10" s="479" customFormat="1">
      <c r="F46" s="482">
        <f>+F37-F44</f>
        <v>755136575446</v>
      </c>
      <c r="G46" s="482">
        <f>+G37-G44</f>
        <v>827368458999.54797</v>
      </c>
      <c r="H46" s="482">
        <f>+H37-H44</f>
        <v>869982559000.47314</v>
      </c>
      <c r="I46" s="482">
        <f>+I37-I44</f>
        <v>920760209000.09521</v>
      </c>
      <c r="J46" s="482">
        <f>+J37-J44</f>
        <v>994929326250.45166</v>
      </c>
    </row>
    <row r="47" spans="3:10" s="479" customFormat="1">
      <c r="F47" s="482">
        <f>+F31+F39</f>
        <v>1233002583300</v>
      </c>
      <c r="G47" s="482">
        <f t="shared" ref="G47:J47" si="5">+G31+G39</f>
        <v>1265507531000.3335</v>
      </c>
      <c r="H47" s="482">
        <f t="shared" si="5"/>
        <v>1308492595000</v>
      </c>
      <c r="I47" s="482">
        <f t="shared" si="5"/>
        <v>1374102906000.375</v>
      </c>
      <c r="J47" s="482">
        <f t="shared" si="5"/>
        <v>1478813082250.2969</v>
      </c>
    </row>
    <row r="48" spans="3:10" s="479" customFormat="1">
      <c r="F48" s="482">
        <f>+APBD!J23</f>
        <v>1233002583300</v>
      </c>
      <c r="G48" s="482">
        <f>+APBD!L23</f>
        <v>1265507531000.3335</v>
      </c>
      <c r="H48" s="482">
        <f>+APBD!N23</f>
        <v>1308492595000</v>
      </c>
      <c r="I48" s="482">
        <f>+APBD!P23</f>
        <v>1374102906000.375</v>
      </c>
      <c r="J48" s="482">
        <f>+APBD!R23</f>
        <v>1478813082250.2969</v>
      </c>
    </row>
    <row r="49" spans="4:10" s="479" customFormat="1"/>
    <row r="50" spans="4:10" s="479" customFormat="1">
      <c r="D50" s="479" t="s">
        <v>597</v>
      </c>
      <c r="F50" s="482">
        <f>+APBD!J27+APBD!J28+APBD!J30+APBD!J31</f>
        <v>121238639000</v>
      </c>
      <c r="G50" s="482">
        <f>+APBD!L27+APBD!L28+APBD!L30+APBD!L31</f>
        <v>131488639000</v>
      </c>
      <c r="H50" s="482">
        <f>+APBD!N27+APBD!N28+APBD!N30+APBD!N31</f>
        <v>131488639000</v>
      </c>
      <c r="I50" s="482">
        <f>+APBD!P27+APBD!P28+APBD!P30+APBD!P31</f>
        <v>135738639000</v>
      </c>
      <c r="J50" s="482">
        <f>+APBD!R27+APBD!R28+APBD!R30+APBD!R31</f>
        <v>158238639000</v>
      </c>
    </row>
    <row r="51" spans="4:10" s="479" customFormat="1"/>
    <row r="52" spans="4:10" s="479" customFormat="1">
      <c r="F52" s="480">
        <f>+F50-F44</f>
        <v>121238639000</v>
      </c>
      <c r="G52" s="480">
        <f t="shared" ref="G52:J52" si="6">+G50-G44</f>
        <v>131488639000</v>
      </c>
      <c r="H52" s="480">
        <f t="shared" si="6"/>
        <v>131488639000</v>
      </c>
      <c r="I52" s="480">
        <f t="shared" si="6"/>
        <v>135738639000</v>
      </c>
      <c r="J52" s="480">
        <f t="shared" si="6"/>
        <v>158238639000</v>
      </c>
    </row>
    <row r="53" spans="4:10" s="479" customFormat="1"/>
    <row r="54" spans="4:10" s="479" customFormat="1">
      <c r="F54" s="480">
        <f>+F34+F35+F41</f>
        <v>61470654324</v>
      </c>
      <c r="G54" s="480">
        <f t="shared" ref="G54:J54" si="7">+G34+G35+G41</f>
        <v>66117291242.454483</v>
      </c>
      <c r="H54" s="480">
        <f t="shared" si="7"/>
        <v>66644101959.123573</v>
      </c>
      <c r="I54" s="480">
        <f t="shared" si="7"/>
        <v>66233393525.844246</v>
      </c>
      <c r="J54" s="480">
        <f t="shared" si="7"/>
        <v>66566596463.852478</v>
      </c>
    </row>
    <row r="55" spans="4:10" s="479" customFormat="1"/>
    <row r="56" spans="4:10" s="479" customFormat="1"/>
  </sheetData>
  <mergeCells count="10">
    <mergeCell ref="C4:J4"/>
    <mergeCell ref="C5:J5"/>
    <mergeCell ref="C8:C9"/>
    <mergeCell ref="D8:D9"/>
    <mergeCell ref="E8:J8"/>
    <mergeCell ref="C26:C27"/>
    <mergeCell ref="D26:D27"/>
    <mergeCell ref="E26:J26"/>
    <mergeCell ref="C23:J23"/>
    <mergeCell ref="C24:J24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C3:O24"/>
  <sheetViews>
    <sheetView workbookViewId="0">
      <selection activeCell="C3" sqref="C3:O3"/>
    </sheetView>
  </sheetViews>
  <sheetFormatPr defaultRowHeight="15"/>
  <cols>
    <col min="3" max="3" width="4.140625" bestFit="1" customWidth="1"/>
    <col min="4" max="4" width="17.42578125" customWidth="1"/>
    <col min="5" max="5" width="2.42578125" hidden="1" customWidth="1"/>
    <col min="6" max="6" width="8.140625" bestFit="1" customWidth="1"/>
    <col min="7" max="7" width="16.28515625" bestFit="1" customWidth="1"/>
    <col min="8" max="8" width="8.140625" bestFit="1" customWidth="1"/>
    <col min="9" max="9" width="16.28515625" bestFit="1" customWidth="1"/>
    <col min="10" max="10" width="8.140625" bestFit="1" customWidth="1"/>
    <col min="11" max="11" width="16.28515625" bestFit="1" customWidth="1"/>
    <col min="12" max="12" width="8.140625" bestFit="1" customWidth="1"/>
    <col min="13" max="13" width="16.28515625" bestFit="1" customWidth="1"/>
    <col min="14" max="14" width="8.140625" bestFit="1" customWidth="1"/>
    <col min="15" max="15" width="16.28515625" bestFit="1" customWidth="1"/>
  </cols>
  <sheetData>
    <row r="3" spans="3:15">
      <c r="C3" s="521" t="s">
        <v>620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</row>
    <row r="4" spans="3:15">
      <c r="C4" s="521" t="s">
        <v>621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</row>
    <row r="6" spans="3:15" ht="15.75" customHeight="1">
      <c r="C6" s="533" t="s">
        <v>106</v>
      </c>
      <c r="D6" s="520" t="s">
        <v>142</v>
      </c>
      <c r="E6" s="532" t="s">
        <v>610</v>
      </c>
      <c r="F6" s="532"/>
      <c r="G6" s="532"/>
      <c r="H6" s="532"/>
      <c r="I6" s="532"/>
      <c r="J6" s="532"/>
      <c r="K6" s="532"/>
      <c r="L6" s="532"/>
      <c r="M6" s="532"/>
      <c r="N6" s="532"/>
      <c r="O6" s="532"/>
    </row>
    <row r="7" spans="3:15">
      <c r="C7" s="533"/>
      <c r="D7" s="520"/>
      <c r="E7" s="433"/>
      <c r="F7" s="534" t="s">
        <v>611</v>
      </c>
      <c r="G7" s="535"/>
      <c r="H7" s="534" t="s">
        <v>612</v>
      </c>
      <c r="I7" s="535"/>
      <c r="J7" s="534" t="s">
        <v>613</v>
      </c>
      <c r="K7" s="535"/>
      <c r="L7" s="534" t="s">
        <v>614</v>
      </c>
      <c r="M7" s="535"/>
      <c r="N7" s="534" t="s">
        <v>615</v>
      </c>
      <c r="O7" s="535"/>
    </row>
    <row r="8" spans="3:15">
      <c r="C8" s="437"/>
      <c r="D8" s="437"/>
      <c r="E8" s="437"/>
      <c r="F8" s="441" t="s">
        <v>556</v>
      </c>
      <c r="G8" s="441" t="s">
        <v>619</v>
      </c>
      <c r="H8" s="441" t="s">
        <v>556</v>
      </c>
      <c r="I8" s="441" t="s">
        <v>619</v>
      </c>
      <c r="J8" s="441" t="s">
        <v>556</v>
      </c>
      <c r="K8" s="441" t="s">
        <v>619</v>
      </c>
      <c r="L8" s="441" t="s">
        <v>556</v>
      </c>
      <c r="M8" s="441" t="s">
        <v>619</v>
      </c>
      <c r="N8" s="441" t="s">
        <v>556</v>
      </c>
      <c r="O8" s="441" t="s">
        <v>619</v>
      </c>
    </row>
    <row r="9" spans="3:15">
      <c r="C9" s="448">
        <v>1</v>
      </c>
      <c r="D9" s="437" t="s">
        <v>617</v>
      </c>
      <c r="E9" s="438"/>
      <c r="F9" s="447">
        <f>+G9/G$13</f>
        <v>0.35542808798558173</v>
      </c>
      <c r="G9" s="438">
        <f>+'Ren. penggu kapas. riil'!F36</f>
        <v>416395353530</v>
      </c>
      <c r="H9" s="447">
        <f>+I9/I$13</f>
        <v>0.31017576133682379</v>
      </c>
      <c r="I9" s="438">
        <f>+'Ren. penggu kapas. riil'!G36-1</f>
        <v>372021780756.54553</v>
      </c>
      <c r="J9" s="447">
        <f>+K9/K$13</f>
        <v>0.29944549284776251</v>
      </c>
      <c r="K9" s="438">
        <f>+'Ren. penggu kapas. riil'!H36</f>
        <v>371865934040.8764</v>
      </c>
      <c r="L9" s="447">
        <f>+M9/M$13</f>
        <v>0.29598465273651697</v>
      </c>
      <c r="M9" s="438">
        <f>+'Ren. penggu kapas. riil'!I36</f>
        <v>387109303474.15576</v>
      </c>
      <c r="N9" s="447">
        <f>+O9/O$13</f>
        <v>0.29549881252100169</v>
      </c>
      <c r="O9" s="438">
        <f>+'Ren. penggu kapas. riil'!J36+1</f>
        <v>417317159537.14752</v>
      </c>
    </row>
    <row r="10" spans="3:15">
      <c r="C10" s="448"/>
      <c r="D10" s="437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</row>
    <row r="11" spans="3:15">
      <c r="C11" s="448">
        <v>2</v>
      </c>
      <c r="D11" s="437" t="s">
        <v>616</v>
      </c>
      <c r="E11" s="438"/>
      <c r="F11" s="447">
        <f>+G11/G$13</f>
        <v>0.64457191201441832</v>
      </c>
      <c r="G11" s="438">
        <f>+'Ren. penggu kapas. riil'!F42</f>
        <v>755136575446</v>
      </c>
      <c r="H11" s="447">
        <f>+I11/I$13</f>
        <v>0.68982423866317621</v>
      </c>
      <c r="I11" s="438">
        <f>+'Ren. penggu kapas. riil'!G42</f>
        <v>827368459000.33337</v>
      </c>
      <c r="J11" s="447">
        <f>+K11/K$13</f>
        <v>0.70055450715223744</v>
      </c>
      <c r="K11" s="438">
        <f>+'Ren. penggu kapas. riil'!H42</f>
        <v>869982559000</v>
      </c>
      <c r="L11" s="447">
        <f>+M11/M$13</f>
        <v>0.70401534726424764</v>
      </c>
      <c r="M11" s="438">
        <f>+'Ren. penggu kapas. riil'!I42</f>
        <v>920760209000.375</v>
      </c>
      <c r="N11" s="447">
        <f>+O11/O$13</f>
        <v>0.70450118747899837</v>
      </c>
      <c r="O11" s="438">
        <f>+'Ren. penggu kapas. riil'!J42</f>
        <v>994929326250.29687</v>
      </c>
    </row>
    <row r="12" spans="3:15">
      <c r="C12" s="448"/>
      <c r="D12" s="437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</row>
    <row r="13" spans="3:15">
      <c r="C13" s="448"/>
      <c r="D13" s="437" t="s">
        <v>618</v>
      </c>
      <c r="E13" s="438"/>
      <c r="F13" s="447">
        <f>+G13/G$13</f>
        <v>1</v>
      </c>
      <c r="G13" s="438">
        <f t="shared" ref="G13:O13" si="0">SUM(G9:G11)</f>
        <v>1171531928976</v>
      </c>
      <c r="H13" s="447">
        <f>+I13/I$13</f>
        <v>1</v>
      </c>
      <c r="I13" s="438">
        <f>SUM(I9:I11)</f>
        <v>1199390239756.8789</v>
      </c>
      <c r="J13" s="447">
        <f>+K13/K$13</f>
        <v>1</v>
      </c>
      <c r="K13" s="438">
        <f t="shared" si="0"/>
        <v>1241848493040.8765</v>
      </c>
      <c r="L13" s="447">
        <f>+M13/M$13</f>
        <v>1</v>
      </c>
      <c r="M13" s="438">
        <f>+M9+M11-1</f>
        <v>1307869512473.5308</v>
      </c>
      <c r="N13" s="447">
        <f>+O13/O$13</f>
        <v>1</v>
      </c>
      <c r="O13" s="438">
        <f t="shared" si="0"/>
        <v>1412246485787.4443</v>
      </c>
    </row>
    <row r="16" spans="3:15" s="479" customFormat="1">
      <c r="F16" s="482"/>
      <c r="G16" s="482"/>
      <c r="H16" s="482"/>
      <c r="I16" s="482"/>
      <c r="J16" s="482"/>
      <c r="K16" s="482"/>
      <c r="L16" s="482"/>
      <c r="M16" s="482"/>
      <c r="N16" s="482"/>
      <c r="O16" s="482"/>
    </row>
    <row r="17" spans="6:15" s="479" customFormat="1"/>
    <row r="18" spans="6:15" s="479" customFormat="1">
      <c r="F18" s="482"/>
      <c r="G18" s="482"/>
      <c r="H18" s="482"/>
      <c r="I18" s="482"/>
      <c r="J18" s="482"/>
      <c r="K18" s="482"/>
      <c r="L18" s="482"/>
      <c r="M18" s="482"/>
      <c r="N18" s="482"/>
      <c r="O18" s="482"/>
    </row>
    <row r="19" spans="6:15" s="479" customFormat="1"/>
    <row r="20" spans="6:15" s="479" customFormat="1">
      <c r="F20" s="480"/>
      <c r="G20" s="480"/>
      <c r="H20" s="480"/>
      <c r="I20" s="480"/>
      <c r="J20" s="480"/>
      <c r="K20" s="480"/>
      <c r="L20" s="480"/>
      <c r="M20" s="480"/>
      <c r="N20" s="480"/>
      <c r="O20" s="480"/>
    </row>
    <row r="21" spans="6:15" s="479" customFormat="1"/>
    <row r="22" spans="6:15" s="479" customFormat="1">
      <c r="F22" s="480"/>
      <c r="G22" s="480"/>
      <c r="H22" s="480"/>
      <c r="I22" s="480"/>
      <c r="J22" s="480"/>
      <c r="K22" s="480"/>
      <c r="L22" s="480"/>
      <c r="M22" s="480"/>
      <c r="N22" s="480"/>
      <c r="O22" s="480"/>
    </row>
    <row r="23" spans="6:15" s="479" customFormat="1"/>
    <row r="24" spans="6:15" s="479" customFormat="1"/>
  </sheetData>
  <mergeCells count="10">
    <mergeCell ref="C3:O3"/>
    <mergeCell ref="F7:G7"/>
    <mergeCell ref="H7:I7"/>
    <mergeCell ref="J7:K7"/>
    <mergeCell ref="C4:O4"/>
    <mergeCell ref="C6:C7"/>
    <mergeCell ref="D6:D7"/>
    <mergeCell ref="E6:O6"/>
    <mergeCell ref="L7:M7"/>
    <mergeCell ref="N7:O7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Q121"/>
  <sheetViews>
    <sheetView tabSelected="1" topLeftCell="B1" zoomScale="160" zoomScaleNormal="160" workbookViewId="0">
      <pane xSplit="1" ySplit="4" topLeftCell="N46" activePane="bottomRight" state="frozen"/>
      <selection activeCell="B1" sqref="B1"/>
      <selection pane="topRight" activeCell="C1" sqref="C1"/>
      <selection pane="bottomLeft" activeCell="B5" sqref="B5"/>
      <selection pane="bottomRight" activeCell="B41" sqref="B41:R54"/>
    </sheetView>
  </sheetViews>
  <sheetFormatPr defaultColWidth="23.28515625" defaultRowHeight="20.100000000000001" customHeight="1"/>
  <cols>
    <col min="1" max="1" width="13.140625" style="10" customWidth="1"/>
    <col min="2" max="2" width="27.140625" style="11" customWidth="1"/>
    <col min="3" max="3" width="18.7109375" style="12" hidden="1" customWidth="1"/>
    <col min="4" max="4" width="18.28515625" style="12" hidden="1" customWidth="1"/>
    <col min="5" max="7" width="15.42578125" style="13" hidden="1" customWidth="1"/>
    <col min="8" max="8" width="17.28515625" style="13" hidden="1" customWidth="1"/>
    <col min="9" max="9" width="16.85546875" style="13" hidden="1" customWidth="1"/>
    <col min="10" max="11" width="17.28515625" style="13" customWidth="1"/>
    <col min="12" max="12" width="16.85546875" style="13" bestFit="1" customWidth="1"/>
    <col min="13" max="13" width="16.85546875" style="13" customWidth="1"/>
    <col min="14" max="14" width="16.85546875" style="276" bestFit="1" customWidth="1"/>
    <col min="15" max="15" width="16.85546875" style="276" customWidth="1"/>
    <col min="16" max="16" width="16.85546875" style="13" bestFit="1" customWidth="1"/>
    <col min="17" max="17" width="16.85546875" style="13" customWidth="1"/>
    <col min="18" max="18" width="16.85546875" style="13" bestFit="1" customWidth="1"/>
    <col min="19" max="19" width="17.85546875" style="13" bestFit="1" customWidth="1"/>
    <col min="20" max="20" width="22.5703125" style="13" customWidth="1"/>
    <col min="21" max="245" width="9.140625" style="13" customWidth="1"/>
    <col min="246" max="246" width="6" style="13" customWidth="1"/>
    <col min="247" max="247" width="50.28515625" style="13" customWidth="1"/>
    <col min="248" max="249" width="0" style="13" hidden="1" customWidth="1"/>
    <col min="250" max="250" width="20.7109375" style="13" customWidth="1"/>
    <col min="251" max="251" width="23.28515625" style="13" customWidth="1"/>
    <col min="252" max="261" width="23.28515625" style="9"/>
    <col min="262" max="262" width="13.140625" style="9" customWidth="1"/>
    <col min="263" max="263" width="58" style="9" customWidth="1"/>
    <col min="264" max="264" width="25" style="9" customWidth="1"/>
    <col min="265" max="265" width="20.7109375" style="9" customWidth="1"/>
    <col min="266" max="266" width="25" style="9" customWidth="1"/>
    <col min="267" max="501" width="9.140625" style="9" customWidth="1"/>
    <col min="502" max="502" width="6" style="9" customWidth="1"/>
    <col min="503" max="503" width="50.28515625" style="9" customWidth="1"/>
    <col min="504" max="505" width="0" style="9" hidden="1" customWidth="1"/>
    <col min="506" max="506" width="20.7109375" style="9" customWidth="1"/>
    <col min="507" max="507" width="23.28515625" style="9" customWidth="1"/>
    <col min="508" max="517" width="23.28515625" style="9"/>
    <col min="518" max="518" width="13.140625" style="9" customWidth="1"/>
    <col min="519" max="519" width="58" style="9" customWidth="1"/>
    <col min="520" max="520" width="25" style="9" customWidth="1"/>
    <col min="521" max="521" width="20.7109375" style="9" customWidth="1"/>
    <col min="522" max="522" width="25" style="9" customWidth="1"/>
    <col min="523" max="757" width="9.140625" style="9" customWidth="1"/>
    <col min="758" max="758" width="6" style="9" customWidth="1"/>
    <col min="759" max="759" width="50.28515625" style="9" customWidth="1"/>
    <col min="760" max="761" width="0" style="9" hidden="1" customWidth="1"/>
    <col min="762" max="762" width="20.7109375" style="9" customWidth="1"/>
    <col min="763" max="763" width="23.28515625" style="9" customWidth="1"/>
    <col min="764" max="773" width="23.28515625" style="9"/>
    <col min="774" max="774" width="13.140625" style="9" customWidth="1"/>
    <col min="775" max="775" width="58" style="9" customWidth="1"/>
    <col min="776" max="776" width="25" style="9" customWidth="1"/>
    <col min="777" max="777" width="20.7109375" style="9" customWidth="1"/>
    <col min="778" max="778" width="25" style="9" customWidth="1"/>
    <col min="779" max="1013" width="9.140625" style="9" customWidth="1"/>
    <col min="1014" max="1014" width="6" style="9" customWidth="1"/>
    <col min="1015" max="1015" width="50.28515625" style="9" customWidth="1"/>
    <col min="1016" max="1017" width="0" style="9" hidden="1" customWidth="1"/>
    <col min="1018" max="1018" width="20.7109375" style="9" customWidth="1"/>
    <col min="1019" max="1019" width="23.28515625" style="9" customWidth="1"/>
    <col min="1020" max="1029" width="23.28515625" style="9"/>
    <col min="1030" max="1030" width="13.140625" style="9" customWidth="1"/>
    <col min="1031" max="1031" width="58" style="9" customWidth="1"/>
    <col min="1032" max="1032" width="25" style="9" customWidth="1"/>
    <col min="1033" max="1033" width="20.7109375" style="9" customWidth="1"/>
    <col min="1034" max="1034" width="25" style="9" customWidth="1"/>
    <col min="1035" max="1269" width="9.140625" style="9" customWidth="1"/>
    <col min="1270" max="1270" width="6" style="9" customWidth="1"/>
    <col min="1271" max="1271" width="50.28515625" style="9" customWidth="1"/>
    <col min="1272" max="1273" width="0" style="9" hidden="1" customWidth="1"/>
    <col min="1274" max="1274" width="20.7109375" style="9" customWidth="1"/>
    <col min="1275" max="1275" width="23.28515625" style="9" customWidth="1"/>
    <col min="1276" max="1285" width="23.28515625" style="9"/>
    <col min="1286" max="1286" width="13.140625" style="9" customWidth="1"/>
    <col min="1287" max="1287" width="58" style="9" customWidth="1"/>
    <col min="1288" max="1288" width="25" style="9" customWidth="1"/>
    <col min="1289" max="1289" width="20.7109375" style="9" customWidth="1"/>
    <col min="1290" max="1290" width="25" style="9" customWidth="1"/>
    <col min="1291" max="1525" width="9.140625" style="9" customWidth="1"/>
    <col min="1526" max="1526" width="6" style="9" customWidth="1"/>
    <col min="1527" max="1527" width="50.28515625" style="9" customWidth="1"/>
    <col min="1528" max="1529" width="0" style="9" hidden="1" customWidth="1"/>
    <col min="1530" max="1530" width="20.7109375" style="9" customWidth="1"/>
    <col min="1531" max="1531" width="23.28515625" style="9" customWidth="1"/>
    <col min="1532" max="1541" width="23.28515625" style="9"/>
    <col min="1542" max="1542" width="13.140625" style="9" customWidth="1"/>
    <col min="1543" max="1543" width="58" style="9" customWidth="1"/>
    <col min="1544" max="1544" width="25" style="9" customWidth="1"/>
    <col min="1545" max="1545" width="20.7109375" style="9" customWidth="1"/>
    <col min="1546" max="1546" width="25" style="9" customWidth="1"/>
    <col min="1547" max="1781" width="9.140625" style="9" customWidth="1"/>
    <col min="1782" max="1782" width="6" style="9" customWidth="1"/>
    <col min="1783" max="1783" width="50.28515625" style="9" customWidth="1"/>
    <col min="1784" max="1785" width="0" style="9" hidden="1" customWidth="1"/>
    <col min="1786" max="1786" width="20.7109375" style="9" customWidth="1"/>
    <col min="1787" max="1787" width="23.28515625" style="9" customWidth="1"/>
    <col min="1788" max="1797" width="23.28515625" style="9"/>
    <col min="1798" max="1798" width="13.140625" style="9" customWidth="1"/>
    <col min="1799" max="1799" width="58" style="9" customWidth="1"/>
    <col min="1800" max="1800" width="25" style="9" customWidth="1"/>
    <col min="1801" max="1801" width="20.7109375" style="9" customWidth="1"/>
    <col min="1802" max="1802" width="25" style="9" customWidth="1"/>
    <col min="1803" max="2037" width="9.140625" style="9" customWidth="1"/>
    <col min="2038" max="2038" width="6" style="9" customWidth="1"/>
    <col min="2039" max="2039" width="50.28515625" style="9" customWidth="1"/>
    <col min="2040" max="2041" width="0" style="9" hidden="1" customWidth="1"/>
    <col min="2042" max="2042" width="20.7109375" style="9" customWidth="1"/>
    <col min="2043" max="2043" width="23.28515625" style="9" customWidth="1"/>
    <col min="2044" max="2053" width="23.28515625" style="9"/>
    <col min="2054" max="2054" width="13.140625" style="9" customWidth="1"/>
    <col min="2055" max="2055" width="58" style="9" customWidth="1"/>
    <col min="2056" max="2056" width="25" style="9" customWidth="1"/>
    <col min="2057" max="2057" width="20.7109375" style="9" customWidth="1"/>
    <col min="2058" max="2058" width="25" style="9" customWidth="1"/>
    <col min="2059" max="2293" width="9.140625" style="9" customWidth="1"/>
    <col min="2294" max="2294" width="6" style="9" customWidth="1"/>
    <col min="2295" max="2295" width="50.28515625" style="9" customWidth="1"/>
    <col min="2296" max="2297" width="0" style="9" hidden="1" customWidth="1"/>
    <col min="2298" max="2298" width="20.7109375" style="9" customWidth="1"/>
    <col min="2299" max="2299" width="23.28515625" style="9" customWidth="1"/>
    <col min="2300" max="2309" width="23.28515625" style="9"/>
    <col min="2310" max="2310" width="13.140625" style="9" customWidth="1"/>
    <col min="2311" max="2311" width="58" style="9" customWidth="1"/>
    <col min="2312" max="2312" width="25" style="9" customWidth="1"/>
    <col min="2313" max="2313" width="20.7109375" style="9" customWidth="1"/>
    <col min="2314" max="2314" width="25" style="9" customWidth="1"/>
    <col min="2315" max="2549" width="9.140625" style="9" customWidth="1"/>
    <col min="2550" max="2550" width="6" style="9" customWidth="1"/>
    <col min="2551" max="2551" width="50.28515625" style="9" customWidth="1"/>
    <col min="2552" max="2553" width="0" style="9" hidden="1" customWidth="1"/>
    <col min="2554" max="2554" width="20.7109375" style="9" customWidth="1"/>
    <col min="2555" max="2555" width="23.28515625" style="9" customWidth="1"/>
    <col min="2556" max="2565" width="23.28515625" style="9"/>
    <col min="2566" max="2566" width="13.140625" style="9" customWidth="1"/>
    <col min="2567" max="2567" width="58" style="9" customWidth="1"/>
    <col min="2568" max="2568" width="25" style="9" customWidth="1"/>
    <col min="2569" max="2569" width="20.7109375" style="9" customWidth="1"/>
    <col min="2570" max="2570" width="25" style="9" customWidth="1"/>
    <col min="2571" max="2805" width="9.140625" style="9" customWidth="1"/>
    <col min="2806" max="2806" width="6" style="9" customWidth="1"/>
    <col min="2807" max="2807" width="50.28515625" style="9" customWidth="1"/>
    <col min="2808" max="2809" width="0" style="9" hidden="1" customWidth="1"/>
    <col min="2810" max="2810" width="20.7109375" style="9" customWidth="1"/>
    <col min="2811" max="2811" width="23.28515625" style="9" customWidth="1"/>
    <col min="2812" max="2821" width="23.28515625" style="9"/>
    <col min="2822" max="2822" width="13.140625" style="9" customWidth="1"/>
    <col min="2823" max="2823" width="58" style="9" customWidth="1"/>
    <col min="2824" max="2824" width="25" style="9" customWidth="1"/>
    <col min="2825" max="2825" width="20.7109375" style="9" customWidth="1"/>
    <col min="2826" max="2826" width="25" style="9" customWidth="1"/>
    <col min="2827" max="3061" width="9.140625" style="9" customWidth="1"/>
    <col min="3062" max="3062" width="6" style="9" customWidth="1"/>
    <col min="3063" max="3063" width="50.28515625" style="9" customWidth="1"/>
    <col min="3064" max="3065" width="0" style="9" hidden="1" customWidth="1"/>
    <col min="3066" max="3066" width="20.7109375" style="9" customWidth="1"/>
    <col min="3067" max="3067" width="23.28515625" style="9" customWidth="1"/>
    <col min="3068" max="3077" width="23.28515625" style="9"/>
    <col min="3078" max="3078" width="13.140625" style="9" customWidth="1"/>
    <col min="3079" max="3079" width="58" style="9" customWidth="1"/>
    <col min="3080" max="3080" width="25" style="9" customWidth="1"/>
    <col min="3081" max="3081" width="20.7109375" style="9" customWidth="1"/>
    <col min="3082" max="3082" width="25" style="9" customWidth="1"/>
    <col min="3083" max="3317" width="9.140625" style="9" customWidth="1"/>
    <col min="3318" max="3318" width="6" style="9" customWidth="1"/>
    <col min="3319" max="3319" width="50.28515625" style="9" customWidth="1"/>
    <col min="3320" max="3321" width="0" style="9" hidden="1" customWidth="1"/>
    <col min="3322" max="3322" width="20.7109375" style="9" customWidth="1"/>
    <col min="3323" max="3323" width="23.28515625" style="9" customWidth="1"/>
    <col min="3324" max="3333" width="23.28515625" style="9"/>
    <col min="3334" max="3334" width="13.140625" style="9" customWidth="1"/>
    <col min="3335" max="3335" width="58" style="9" customWidth="1"/>
    <col min="3336" max="3336" width="25" style="9" customWidth="1"/>
    <col min="3337" max="3337" width="20.7109375" style="9" customWidth="1"/>
    <col min="3338" max="3338" width="25" style="9" customWidth="1"/>
    <col min="3339" max="3573" width="9.140625" style="9" customWidth="1"/>
    <col min="3574" max="3574" width="6" style="9" customWidth="1"/>
    <col min="3575" max="3575" width="50.28515625" style="9" customWidth="1"/>
    <col min="3576" max="3577" width="0" style="9" hidden="1" customWidth="1"/>
    <col min="3578" max="3578" width="20.7109375" style="9" customWidth="1"/>
    <col min="3579" max="3579" width="23.28515625" style="9" customWidth="1"/>
    <col min="3580" max="3589" width="23.28515625" style="9"/>
    <col min="3590" max="3590" width="13.140625" style="9" customWidth="1"/>
    <col min="3591" max="3591" width="58" style="9" customWidth="1"/>
    <col min="3592" max="3592" width="25" style="9" customWidth="1"/>
    <col min="3593" max="3593" width="20.7109375" style="9" customWidth="1"/>
    <col min="3594" max="3594" width="25" style="9" customWidth="1"/>
    <col min="3595" max="3829" width="9.140625" style="9" customWidth="1"/>
    <col min="3830" max="3830" width="6" style="9" customWidth="1"/>
    <col min="3831" max="3831" width="50.28515625" style="9" customWidth="1"/>
    <col min="3832" max="3833" width="0" style="9" hidden="1" customWidth="1"/>
    <col min="3834" max="3834" width="20.7109375" style="9" customWidth="1"/>
    <col min="3835" max="3835" width="23.28515625" style="9" customWidth="1"/>
    <col min="3836" max="3845" width="23.28515625" style="9"/>
    <col min="3846" max="3846" width="13.140625" style="9" customWidth="1"/>
    <col min="3847" max="3847" width="58" style="9" customWidth="1"/>
    <col min="3848" max="3848" width="25" style="9" customWidth="1"/>
    <col min="3849" max="3849" width="20.7109375" style="9" customWidth="1"/>
    <col min="3850" max="3850" width="25" style="9" customWidth="1"/>
    <col min="3851" max="4085" width="9.140625" style="9" customWidth="1"/>
    <col min="4086" max="4086" width="6" style="9" customWidth="1"/>
    <col min="4087" max="4087" width="50.28515625" style="9" customWidth="1"/>
    <col min="4088" max="4089" width="0" style="9" hidden="1" customWidth="1"/>
    <col min="4090" max="4090" width="20.7109375" style="9" customWidth="1"/>
    <col min="4091" max="4091" width="23.28515625" style="9" customWidth="1"/>
    <col min="4092" max="4101" width="23.28515625" style="9"/>
    <col min="4102" max="4102" width="13.140625" style="9" customWidth="1"/>
    <col min="4103" max="4103" width="58" style="9" customWidth="1"/>
    <col min="4104" max="4104" width="25" style="9" customWidth="1"/>
    <col min="4105" max="4105" width="20.7109375" style="9" customWidth="1"/>
    <col min="4106" max="4106" width="25" style="9" customWidth="1"/>
    <col min="4107" max="4341" width="9.140625" style="9" customWidth="1"/>
    <col min="4342" max="4342" width="6" style="9" customWidth="1"/>
    <col min="4343" max="4343" width="50.28515625" style="9" customWidth="1"/>
    <col min="4344" max="4345" width="0" style="9" hidden="1" customWidth="1"/>
    <col min="4346" max="4346" width="20.7109375" style="9" customWidth="1"/>
    <col min="4347" max="4347" width="23.28515625" style="9" customWidth="1"/>
    <col min="4348" max="4357" width="23.28515625" style="9"/>
    <col min="4358" max="4358" width="13.140625" style="9" customWidth="1"/>
    <col min="4359" max="4359" width="58" style="9" customWidth="1"/>
    <col min="4360" max="4360" width="25" style="9" customWidth="1"/>
    <col min="4361" max="4361" width="20.7109375" style="9" customWidth="1"/>
    <col min="4362" max="4362" width="25" style="9" customWidth="1"/>
    <col min="4363" max="4597" width="9.140625" style="9" customWidth="1"/>
    <col min="4598" max="4598" width="6" style="9" customWidth="1"/>
    <col min="4599" max="4599" width="50.28515625" style="9" customWidth="1"/>
    <col min="4600" max="4601" width="0" style="9" hidden="1" customWidth="1"/>
    <col min="4602" max="4602" width="20.7109375" style="9" customWidth="1"/>
    <col min="4603" max="4603" width="23.28515625" style="9" customWidth="1"/>
    <col min="4604" max="4613" width="23.28515625" style="9"/>
    <col min="4614" max="4614" width="13.140625" style="9" customWidth="1"/>
    <col min="4615" max="4615" width="58" style="9" customWidth="1"/>
    <col min="4616" max="4616" width="25" style="9" customWidth="1"/>
    <col min="4617" max="4617" width="20.7109375" style="9" customWidth="1"/>
    <col min="4618" max="4618" width="25" style="9" customWidth="1"/>
    <col min="4619" max="4853" width="9.140625" style="9" customWidth="1"/>
    <col min="4854" max="4854" width="6" style="9" customWidth="1"/>
    <col min="4855" max="4855" width="50.28515625" style="9" customWidth="1"/>
    <col min="4856" max="4857" width="0" style="9" hidden="1" customWidth="1"/>
    <col min="4858" max="4858" width="20.7109375" style="9" customWidth="1"/>
    <col min="4859" max="4859" width="23.28515625" style="9" customWidth="1"/>
    <col min="4860" max="4869" width="23.28515625" style="9"/>
    <col min="4870" max="4870" width="13.140625" style="9" customWidth="1"/>
    <col min="4871" max="4871" width="58" style="9" customWidth="1"/>
    <col min="4872" max="4872" width="25" style="9" customWidth="1"/>
    <col min="4873" max="4873" width="20.7109375" style="9" customWidth="1"/>
    <col min="4874" max="4874" width="25" style="9" customWidth="1"/>
    <col min="4875" max="5109" width="9.140625" style="9" customWidth="1"/>
    <col min="5110" max="5110" width="6" style="9" customWidth="1"/>
    <col min="5111" max="5111" width="50.28515625" style="9" customWidth="1"/>
    <col min="5112" max="5113" width="0" style="9" hidden="1" customWidth="1"/>
    <col min="5114" max="5114" width="20.7109375" style="9" customWidth="1"/>
    <col min="5115" max="5115" width="23.28515625" style="9" customWidth="1"/>
    <col min="5116" max="5125" width="23.28515625" style="9"/>
    <col min="5126" max="5126" width="13.140625" style="9" customWidth="1"/>
    <col min="5127" max="5127" width="58" style="9" customWidth="1"/>
    <col min="5128" max="5128" width="25" style="9" customWidth="1"/>
    <col min="5129" max="5129" width="20.7109375" style="9" customWidth="1"/>
    <col min="5130" max="5130" width="25" style="9" customWidth="1"/>
    <col min="5131" max="5365" width="9.140625" style="9" customWidth="1"/>
    <col min="5366" max="5366" width="6" style="9" customWidth="1"/>
    <col min="5367" max="5367" width="50.28515625" style="9" customWidth="1"/>
    <col min="5368" max="5369" width="0" style="9" hidden="1" customWidth="1"/>
    <col min="5370" max="5370" width="20.7109375" style="9" customWidth="1"/>
    <col min="5371" max="5371" width="23.28515625" style="9" customWidth="1"/>
    <col min="5372" max="5381" width="23.28515625" style="9"/>
    <col min="5382" max="5382" width="13.140625" style="9" customWidth="1"/>
    <col min="5383" max="5383" width="58" style="9" customWidth="1"/>
    <col min="5384" max="5384" width="25" style="9" customWidth="1"/>
    <col min="5385" max="5385" width="20.7109375" style="9" customWidth="1"/>
    <col min="5386" max="5386" width="25" style="9" customWidth="1"/>
    <col min="5387" max="5621" width="9.140625" style="9" customWidth="1"/>
    <col min="5622" max="5622" width="6" style="9" customWidth="1"/>
    <col min="5623" max="5623" width="50.28515625" style="9" customWidth="1"/>
    <col min="5624" max="5625" width="0" style="9" hidden="1" customWidth="1"/>
    <col min="5626" max="5626" width="20.7109375" style="9" customWidth="1"/>
    <col min="5627" max="5627" width="23.28515625" style="9" customWidth="1"/>
    <col min="5628" max="5637" width="23.28515625" style="9"/>
    <col min="5638" max="5638" width="13.140625" style="9" customWidth="1"/>
    <col min="5639" max="5639" width="58" style="9" customWidth="1"/>
    <col min="5640" max="5640" width="25" style="9" customWidth="1"/>
    <col min="5641" max="5641" width="20.7109375" style="9" customWidth="1"/>
    <col min="5642" max="5642" width="25" style="9" customWidth="1"/>
    <col min="5643" max="5877" width="9.140625" style="9" customWidth="1"/>
    <col min="5878" max="5878" width="6" style="9" customWidth="1"/>
    <col min="5879" max="5879" width="50.28515625" style="9" customWidth="1"/>
    <col min="5880" max="5881" width="0" style="9" hidden="1" customWidth="1"/>
    <col min="5882" max="5882" width="20.7109375" style="9" customWidth="1"/>
    <col min="5883" max="5883" width="23.28515625" style="9" customWidth="1"/>
    <col min="5884" max="5893" width="23.28515625" style="9"/>
    <col min="5894" max="5894" width="13.140625" style="9" customWidth="1"/>
    <col min="5895" max="5895" width="58" style="9" customWidth="1"/>
    <col min="5896" max="5896" width="25" style="9" customWidth="1"/>
    <col min="5897" max="5897" width="20.7109375" style="9" customWidth="1"/>
    <col min="5898" max="5898" width="25" style="9" customWidth="1"/>
    <col min="5899" max="6133" width="9.140625" style="9" customWidth="1"/>
    <col min="6134" max="6134" width="6" style="9" customWidth="1"/>
    <col min="6135" max="6135" width="50.28515625" style="9" customWidth="1"/>
    <col min="6136" max="6137" width="0" style="9" hidden="1" customWidth="1"/>
    <col min="6138" max="6138" width="20.7109375" style="9" customWidth="1"/>
    <col min="6139" max="6139" width="23.28515625" style="9" customWidth="1"/>
    <col min="6140" max="6149" width="23.28515625" style="9"/>
    <col min="6150" max="6150" width="13.140625" style="9" customWidth="1"/>
    <col min="6151" max="6151" width="58" style="9" customWidth="1"/>
    <col min="6152" max="6152" width="25" style="9" customWidth="1"/>
    <col min="6153" max="6153" width="20.7109375" style="9" customWidth="1"/>
    <col min="6154" max="6154" width="25" style="9" customWidth="1"/>
    <col min="6155" max="6389" width="9.140625" style="9" customWidth="1"/>
    <col min="6390" max="6390" width="6" style="9" customWidth="1"/>
    <col min="6391" max="6391" width="50.28515625" style="9" customWidth="1"/>
    <col min="6392" max="6393" width="0" style="9" hidden="1" customWidth="1"/>
    <col min="6394" max="6394" width="20.7109375" style="9" customWidth="1"/>
    <col min="6395" max="6395" width="23.28515625" style="9" customWidth="1"/>
    <col min="6396" max="6405" width="23.28515625" style="9"/>
    <col min="6406" max="6406" width="13.140625" style="9" customWidth="1"/>
    <col min="6407" max="6407" width="58" style="9" customWidth="1"/>
    <col min="6408" max="6408" width="25" style="9" customWidth="1"/>
    <col min="6409" max="6409" width="20.7109375" style="9" customWidth="1"/>
    <col min="6410" max="6410" width="25" style="9" customWidth="1"/>
    <col min="6411" max="6645" width="9.140625" style="9" customWidth="1"/>
    <col min="6646" max="6646" width="6" style="9" customWidth="1"/>
    <col min="6647" max="6647" width="50.28515625" style="9" customWidth="1"/>
    <col min="6648" max="6649" width="0" style="9" hidden="1" customWidth="1"/>
    <col min="6650" max="6650" width="20.7109375" style="9" customWidth="1"/>
    <col min="6651" max="6651" width="23.28515625" style="9" customWidth="1"/>
    <col min="6652" max="6661" width="23.28515625" style="9"/>
    <col min="6662" max="6662" width="13.140625" style="9" customWidth="1"/>
    <col min="6663" max="6663" width="58" style="9" customWidth="1"/>
    <col min="6664" max="6664" width="25" style="9" customWidth="1"/>
    <col min="6665" max="6665" width="20.7109375" style="9" customWidth="1"/>
    <col min="6666" max="6666" width="25" style="9" customWidth="1"/>
    <col min="6667" max="6901" width="9.140625" style="9" customWidth="1"/>
    <col min="6902" max="6902" width="6" style="9" customWidth="1"/>
    <col min="6903" max="6903" width="50.28515625" style="9" customWidth="1"/>
    <col min="6904" max="6905" width="0" style="9" hidden="1" customWidth="1"/>
    <col min="6906" max="6906" width="20.7109375" style="9" customWidth="1"/>
    <col min="6907" max="6907" width="23.28515625" style="9" customWidth="1"/>
    <col min="6908" max="6917" width="23.28515625" style="9"/>
    <col min="6918" max="6918" width="13.140625" style="9" customWidth="1"/>
    <col min="6919" max="6919" width="58" style="9" customWidth="1"/>
    <col min="6920" max="6920" width="25" style="9" customWidth="1"/>
    <col min="6921" max="6921" width="20.7109375" style="9" customWidth="1"/>
    <col min="6922" max="6922" width="25" style="9" customWidth="1"/>
    <col min="6923" max="7157" width="9.140625" style="9" customWidth="1"/>
    <col min="7158" max="7158" width="6" style="9" customWidth="1"/>
    <col min="7159" max="7159" width="50.28515625" style="9" customWidth="1"/>
    <col min="7160" max="7161" width="0" style="9" hidden="1" customWidth="1"/>
    <col min="7162" max="7162" width="20.7109375" style="9" customWidth="1"/>
    <col min="7163" max="7163" width="23.28515625" style="9" customWidth="1"/>
    <col min="7164" max="7173" width="23.28515625" style="9"/>
    <col min="7174" max="7174" width="13.140625" style="9" customWidth="1"/>
    <col min="7175" max="7175" width="58" style="9" customWidth="1"/>
    <col min="7176" max="7176" width="25" style="9" customWidth="1"/>
    <col min="7177" max="7177" width="20.7109375" style="9" customWidth="1"/>
    <col min="7178" max="7178" width="25" style="9" customWidth="1"/>
    <col min="7179" max="7413" width="9.140625" style="9" customWidth="1"/>
    <col min="7414" max="7414" width="6" style="9" customWidth="1"/>
    <col min="7415" max="7415" width="50.28515625" style="9" customWidth="1"/>
    <col min="7416" max="7417" width="0" style="9" hidden="1" customWidth="1"/>
    <col min="7418" max="7418" width="20.7109375" style="9" customWidth="1"/>
    <col min="7419" max="7419" width="23.28515625" style="9" customWidth="1"/>
    <col min="7420" max="7429" width="23.28515625" style="9"/>
    <col min="7430" max="7430" width="13.140625" style="9" customWidth="1"/>
    <col min="7431" max="7431" width="58" style="9" customWidth="1"/>
    <col min="7432" max="7432" width="25" style="9" customWidth="1"/>
    <col min="7433" max="7433" width="20.7109375" style="9" customWidth="1"/>
    <col min="7434" max="7434" width="25" style="9" customWidth="1"/>
    <col min="7435" max="7669" width="9.140625" style="9" customWidth="1"/>
    <col min="7670" max="7670" width="6" style="9" customWidth="1"/>
    <col min="7671" max="7671" width="50.28515625" style="9" customWidth="1"/>
    <col min="7672" max="7673" width="0" style="9" hidden="1" customWidth="1"/>
    <col min="7674" max="7674" width="20.7109375" style="9" customWidth="1"/>
    <col min="7675" max="7675" width="23.28515625" style="9" customWidth="1"/>
    <col min="7676" max="7685" width="23.28515625" style="9"/>
    <col min="7686" max="7686" width="13.140625" style="9" customWidth="1"/>
    <col min="7687" max="7687" width="58" style="9" customWidth="1"/>
    <col min="7688" max="7688" width="25" style="9" customWidth="1"/>
    <col min="7689" max="7689" width="20.7109375" style="9" customWidth="1"/>
    <col min="7690" max="7690" width="25" style="9" customWidth="1"/>
    <col min="7691" max="7925" width="9.140625" style="9" customWidth="1"/>
    <col min="7926" max="7926" width="6" style="9" customWidth="1"/>
    <col min="7927" max="7927" width="50.28515625" style="9" customWidth="1"/>
    <col min="7928" max="7929" width="0" style="9" hidden="1" customWidth="1"/>
    <col min="7930" max="7930" width="20.7109375" style="9" customWidth="1"/>
    <col min="7931" max="7931" width="23.28515625" style="9" customWidth="1"/>
    <col min="7932" max="7941" width="23.28515625" style="9"/>
    <col min="7942" max="7942" width="13.140625" style="9" customWidth="1"/>
    <col min="7943" max="7943" width="58" style="9" customWidth="1"/>
    <col min="7944" max="7944" width="25" style="9" customWidth="1"/>
    <col min="7945" max="7945" width="20.7109375" style="9" customWidth="1"/>
    <col min="7946" max="7946" width="25" style="9" customWidth="1"/>
    <col min="7947" max="8181" width="9.140625" style="9" customWidth="1"/>
    <col min="8182" max="8182" width="6" style="9" customWidth="1"/>
    <col min="8183" max="8183" width="50.28515625" style="9" customWidth="1"/>
    <col min="8184" max="8185" width="0" style="9" hidden="1" customWidth="1"/>
    <col min="8186" max="8186" width="20.7109375" style="9" customWidth="1"/>
    <col min="8187" max="8187" width="23.28515625" style="9" customWidth="1"/>
    <col min="8188" max="8197" width="23.28515625" style="9"/>
    <col min="8198" max="8198" width="13.140625" style="9" customWidth="1"/>
    <col min="8199" max="8199" width="58" style="9" customWidth="1"/>
    <col min="8200" max="8200" width="25" style="9" customWidth="1"/>
    <col min="8201" max="8201" width="20.7109375" style="9" customWidth="1"/>
    <col min="8202" max="8202" width="25" style="9" customWidth="1"/>
    <col min="8203" max="8437" width="9.140625" style="9" customWidth="1"/>
    <col min="8438" max="8438" width="6" style="9" customWidth="1"/>
    <col min="8439" max="8439" width="50.28515625" style="9" customWidth="1"/>
    <col min="8440" max="8441" width="0" style="9" hidden="1" customWidth="1"/>
    <col min="8442" max="8442" width="20.7109375" style="9" customWidth="1"/>
    <col min="8443" max="8443" width="23.28515625" style="9" customWidth="1"/>
    <col min="8444" max="8453" width="23.28515625" style="9"/>
    <col min="8454" max="8454" width="13.140625" style="9" customWidth="1"/>
    <col min="8455" max="8455" width="58" style="9" customWidth="1"/>
    <col min="8456" max="8456" width="25" style="9" customWidth="1"/>
    <col min="8457" max="8457" width="20.7109375" style="9" customWidth="1"/>
    <col min="8458" max="8458" width="25" style="9" customWidth="1"/>
    <col min="8459" max="8693" width="9.140625" style="9" customWidth="1"/>
    <col min="8694" max="8694" width="6" style="9" customWidth="1"/>
    <col min="8695" max="8695" width="50.28515625" style="9" customWidth="1"/>
    <col min="8696" max="8697" width="0" style="9" hidden="1" customWidth="1"/>
    <col min="8698" max="8698" width="20.7109375" style="9" customWidth="1"/>
    <col min="8699" max="8699" width="23.28515625" style="9" customWidth="1"/>
    <col min="8700" max="8709" width="23.28515625" style="9"/>
    <col min="8710" max="8710" width="13.140625" style="9" customWidth="1"/>
    <col min="8711" max="8711" width="58" style="9" customWidth="1"/>
    <col min="8712" max="8712" width="25" style="9" customWidth="1"/>
    <col min="8713" max="8713" width="20.7109375" style="9" customWidth="1"/>
    <col min="8714" max="8714" width="25" style="9" customWidth="1"/>
    <col min="8715" max="8949" width="9.140625" style="9" customWidth="1"/>
    <col min="8950" max="8950" width="6" style="9" customWidth="1"/>
    <col min="8951" max="8951" width="50.28515625" style="9" customWidth="1"/>
    <col min="8952" max="8953" width="0" style="9" hidden="1" customWidth="1"/>
    <col min="8954" max="8954" width="20.7109375" style="9" customWidth="1"/>
    <col min="8955" max="8955" width="23.28515625" style="9" customWidth="1"/>
    <col min="8956" max="8965" width="23.28515625" style="9"/>
    <col min="8966" max="8966" width="13.140625" style="9" customWidth="1"/>
    <col min="8967" max="8967" width="58" style="9" customWidth="1"/>
    <col min="8968" max="8968" width="25" style="9" customWidth="1"/>
    <col min="8969" max="8969" width="20.7109375" style="9" customWidth="1"/>
    <col min="8970" max="8970" width="25" style="9" customWidth="1"/>
    <col min="8971" max="9205" width="9.140625" style="9" customWidth="1"/>
    <col min="9206" max="9206" width="6" style="9" customWidth="1"/>
    <col min="9207" max="9207" width="50.28515625" style="9" customWidth="1"/>
    <col min="9208" max="9209" width="0" style="9" hidden="1" customWidth="1"/>
    <col min="9210" max="9210" width="20.7109375" style="9" customWidth="1"/>
    <col min="9211" max="9211" width="23.28515625" style="9" customWidth="1"/>
    <col min="9212" max="9221" width="23.28515625" style="9"/>
    <col min="9222" max="9222" width="13.140625" style="9" customWidth="1"/>
    <col min="9223" max="9223" width="58" style="9" customWidth="1"/>
    <col min="9224" max="9224" width="25" style="9" customWidth="1"/>
    <col min="9225" max="9225" width="20.7109375" style="9" customWidth="1"/>
    <col min="9226" max="9226" width="25" style="9" customWidth="1"/>
    <col min="9227" max="9461" width="9.140625" style="9" customWidth="1"/>
    <col min="9462" max="9462" width="6" style="9" customWidth="1"/>
    <col min="9463" max="9463" width="50.28515625" style="9" customWidth="1"/>
    <col min="9464" max="9465" width="0" style="9" hidden="1" customWidth="1"/>
    <col min="9466" max="9466" width="20.7109375" style="9" customWidth="1"/>
    <col min="9467" max="9467" width="23.28515625" style="9" customWidth="1"/>
    <col min="9468" max="9477" width="23.28515625" style="9"/>
    <col min="9478" max="9478" width="13.140625" style="9" customWidth="1"/>
    <col min="9479" max="9479" width="58" style="9" customWidth="1"/>
    <col min="9480" max="9480" width="25" style="9" customWidth="1"/>
    <col min="9481" max="9481" width="20.7109375" style="9" customWidth="1"/>
    <col min="9482" max="9482" width="25" style="9" customWidth="1"/>
    <col min="9483" max="9717" width="9.140625" style="9" customWidth="1"/>
    <col min="9718" max="9718" width="6" style="9" customWidth="1"/>
    <col min="9719" max="9719" width="50.28515625" style="9" customWidth="1"/>
    <col min="9720" max="9721" width="0" style="9" hidden="1" customWidth="1"/>
    <col min="9722" max="9722" width="20.7109375" style="9" customWidth="1"/>
    <col min="9723" max="9723" width="23.28515625" style="9" customWidth="1"/>
    <col min="9724" max="9733" width="23.28515625" style="9"/>
    <col min="9734" max="9734" width="13.140625" style="9" customWidth="1"/>
    <col min="9735" max="9735" width="58" style="9" customWidth="1"/>
    <col min="9736" max="9736" width="25" style="9" customWidth="1"/>
    <col min="9737" max="9737" width="20.7109375" style="9" customWidth="1"/>
    <col min="9738" max="9738" width="25" style="9" customWidth="1"/>
    <col min="9739" max="9973" width="9.140625" style="9" customWidth="1"/>
    <col min="9974" max="9974" width="6" style="9" customWidth="1"/>
    <col min="9975" max="9975" width="50.28515625" style="9" customWidth="1"/>
    <col min="9976" max="9977" width="0" style="9" hidden="1" customWidth="1"/>
    <col min="9978" max="9978" width="20.7109375" style="9" customWidth="1"/>
    <col min="9979" max="9979" width="23.28515625" style="9" customWidth="1"/>
    <col min="9980" max="9989" width="23.28515625" style="9"/>
    <col min="9990" max="9990" width="13.140625" style="9" customWidth="1"/>
    <col min="9991" max="9991" width="58" style="9" customWidth="1"/>
    <col min="9992" max="9992" width="25" style="9" customWidth="1"/>
    <col min="9993" max="9993" width="20.7109375" style="9" customWidth="1"/>
    <col min="9994" max="9994" width="25" style="9" customWidth="1"/>
    <col min="9995" max="10229" width="9.140625" style="9" customWidth="1"/>
    <col min="10230" max="10230" width="6" style="9" customWidth="1"/>
    <col min="10231" max="10231" width="50.28515625" style="9" customWidth="1"/>
    <col min="10232" max="10233" width="0" style="9" hidden="1" customWidth="1"/>
    <col min="10234" max="10234" width="20.7109375" style="9" customWidth="1"/>
    <col min="10235" max="10235" width="23.28515625" style="9" customWidth="1"/>
    <col min="10236" max="10245" width="23.28515625" style="9"/>
    <col min="10246" max="10246" width="13.140625" style="9" customWidth="1"/>
    <col min="10247" max="10247" width="58" style="9" customWidth="1"/>
    <col min="10248" max="10248" width="25" style="9" customWidth="1"/>
    <col min="10249" max="10249" width="20.7109375" style="9" customWidth="1"/>
    <col min="10250" max="10250" width="25" style="9" customWidth="1"/>
    <col min="10251" max="10485" width="9.140625" style="9" customWidth="1"/>
    <col min="10486" max="10486" width="6" style="9" customWidth="1"/>
    <col min="10487" max="10487" width="50.28515625" style="9" customWidth="1"/>
    <col min="10488" max="10489" width="0" style="9" hidden="1" customWidth="1"/>
    <col min="10490" max="10490" width="20.7109375" style="9" customWidth="1"/>
    <col min="10491" max="10491" width="23.28515625" style="9" customWidth="1"/>
    <col min="10492" max="10501" width="23.28515625" style="9"/>
    <col min="10502" max="10502" width="13.140625" style="9" customWidth="1"/>
    <col min="10503" max="10503" width="58" style="9" customWidth="1"/>
    <col min="10504" max="10504" width="25" style="9" customWidth="1"/>
    <col min="10505" max="10505" width="20.7109375" style="9" customWidth="1"/>
    <col min="10506" max="10506" width="25" style="9" customWidth="1"/>
    <col min="10507" max="10741" width="9.140625" style="9" customWidth="1"/>
    <col min="10742" max="10742" width="6" style="9" customWidth="1"/>
    <col min="10743" max="10743" width="50.28515625" style="9" customWidth="1"/>
    <col min="10744" max="10745" width="0" style="9" hidden="1" customWidth="1"/>
    <col min="10746" max="10746" width="20.7109375" style="9" customWidth="1"/>
    <col min="10747" max="10747" width="23.28515625" style="9" customWidth="1"/>
    <col min="10748" max="10757" width="23.28515625" style="9"/>
    <col min="10758" max="10758" width="13.140625" style="9" customWidth="1"/>
    <col min="10759" max="10759" width="58" style="9" customWidth="1"/>
    <col min="10760" max="10760" width="25" style="9" customWidth="1"/>
    <col min="10761" max="10761" width="20.7109375" style="9" customWidth="1"/>
    <col min="10762" max="10762" width="25" style="9" customWidth="1"/>
    <col min="10763" max="10997" width="9.140625" style="9" customWidth="1"/>
    <col min="10998" max="10998" width="6" style="9" customWidth="1"/>
    <col min="10999" max="10999" width="50.28515625" style="9" customWidth="1"/>
    <col min="11000" max="11001" width="0" style="9" hidden="1" customWidth="1"/>
    <col min="11002" max="11002" width="20.7109375" style="9" customWidth="1"/>
    <col min="11003" max="11003" width="23.28515625" style="9" customWidth="1"/>
    <col min="11004" max="11013" width="23.28515625" style="9"/>
    <col min="11014" max="11014" width="13.140625" style="9" customWidth="1"/>
    <col min="11015" max="11015" width="58" style="9" customWidth="1"/>
    <col min="11016" max="11016" width="25" style="9" customWidth="1"/>
    <col min="11017" max="11017" width="20.7109375" style="9" customWidth="1"/>
    <col min="11018" max="11018" width="25" style="9" customWidth="1"/>
    <col min="11019" max="11253" width="9.140625" style="9" customWidth="1"/>
    <col min="11254" max="11254" width="6" style="9" customWidth="1"/>
    <col min="11255" max="11255" width="50.28515625" style="9" customWidth="1"/>
    <col min="11256" max="11257" width="0" style="9" hidden="1" customWidth="1"/>
    <col min="11258" max="11258" width="20.7109375" style="9" customWidth="1"/>
    <col min="11259" max="11259" width="23.28515625" style="9" customWidth="1"/>
    <col min="11260" max="11269" width="23.28515625" style="9"/>
    <col min="11270" max="11270" width="13.140625" style="9" customWidth="1"/>
    <col min="11271" max="11271" width="58" style="9" customWidth="1"/>
    <col min="11272" max="11272" width="25" style="9" customWidth="1"/>
    <col min="11273" max="11273" width="20.7109375" style="9" customWidth="1"/>
    <col min="11274" max="11274" width="25" style="9" customWidth="1"/>
    <col min="11275" max="11509" width="9.140625" style="9" customWidth="1"/>
    <col min="11510" max="11510" width="6" style="9" customWidth="1"/>
    <col min="11511" max="11511" width="50.28515625" style="9" customWidth="1"/>
    <col min="11512" max="11513" width="0" style="9" hidden="1" customWidth="1"/>
    <col min="11514" max="11514" width="20.7109375" style="9" customWidth="1"/>
    <col min="11515" max="11515" width="23.28515625" style="9" customWidth="1"/>
    <col min="11516" max="11525" width="23.28515625" style="9"/>
    <col min="11526" max="11526" width="13.140625" style="9" customWidth="1"/>
    <col min="11527" max="11527" width="58" style="9" customWidth="1"/>
    <col min="11528" max="11528" width="25" style="9" customWidth="1"/>
    <col min="11529" max="11529" width="20.7109375" style="9" customWidth="1"/>
    <col min="11530" max="11530" width="25" style="9" customWidth="1"/>
    <col min="11531" max="11765" width="9.140625" style="9" customWidth="1"/>
    <col min="11766" max="11766" width="6" style="9" customWidth="1"/>
    <col min="11767" max="11767" width="50.28515625" style="9" customWidth="1"/>
    <col min="11768" max="11769" width="0" style="9" hidden="1" customWidth="1"/>
    <col min="11770" max="11770" width="20.7109375" style="9" customWidth="1"/>
    <col min="11771" max="11771" width="23.28515625" style="9" customWidth="1"/>
    <col min="11772" max="11781" width="23.28515625" style="9"/>
    <col min="11782" max="11782" width="13.140625" style="9" customWidth="1"/>
    <col min="11783" max="11783" width="58" style="9" customWidth="1"/>
    <col min="11784" max="11784" width="25" style="9" customWidth="1"/>
    <col min="11785" max="11785" width="20.7109375" style="9" customWidth="1"/>
    <col min="11786" max="11786" width="25" style="9" customWidth="1"/>
    <col min="11787" max="12021" width="9.140625" style="9" customWidth="1"/>
    <col min="12022" max="12022" width="6" style="9" customWidth="1"/>
    <col min="12023" max="12023" width="50.28515625" style="9" customWidth="1"/>
    <col min="12024" max="12025" width="0" style="9" hidden="1" customWidth="1"/>
    <col min="12026" max="12026" width="20.7109375" style="9" customWidth="1"/>
    <col min="12027" max="12027" width="23.28515625" style="9" customWidth="1"/>
    <col min="12028" max="12037" width="23.28515625" style="9"/>
    <col min="12038" max="12038" width="13.140625" style="9" customWidth="1"/>
    <col min="12039" max="12039" width="58" style="9" customWidth="1"/>
    <col min="12040" max="12040" width="25" style="9" customWidth="1"/>
    <col min="12041" max="12041" width="20.7109375" style="9" customWidth="1"/>
    <col min="12042" max="12042" width="25" style="9" customWidth="1"/>
    <col min="12043" max="12277" width="9.140625" style="9" customWidth="1"/>
    <col min="12278" max="12278" width="6" style="9" customWidth="1"/>
    <col min="12279" max="12279" width="50.28515625" style="9" customWidth="1"/>
    <col min="12280" max="12281" width="0" style="9" hidden="1" customWidth="1"/>
    <col min="12282" max="12282" width="20.7109375" style="9" customWidth="1"/>
    <col min="12283" max="12283" width="23.28515625" style="9" customWidth="1"/>
    <col min="12284" max="12293" width="23.28515625" style="9"/>
    <col min="12294" max="12294" width="13.140625" style="9" customWidth="1"/>
    <col min="12295" max="12295" width="58" style="9" customWidth="1"/>
    <col min="12296" max="12296" width="25" style="9" customWidth="1"/>
    <col min="12297" max="12297" width="20.7109375" style="9" customWidth="1"/>
    <col min="12298" max="12298" width="25" style="9" customWidth="1"/>
    <col min="12299" max="12533" width="9.140625" style="9" customWidth="1"/>
    <col min="12534" max="12534" width="6" style="9" customWidth="1"/>
    <col min="12535" max="12535" width="50.28515625" style="9" customWidth="1"/>
    <col min="12536" max="12537" width="0" style="9" hidden="1" customWidth="1"/>
    <col min="12538" max="12538" width="20.7109375" style="9" customWidth="1"/>
    <col min="12539" max="12539" width="23.28515625" style="9" customWidth="1"/>
    <col min="12540" max="12549" width="23.28515625" style="9"/>
    <col min="12550" max="12550" width="13.140625" style="9" customWidth="1"/>
    <col min="12551" max="12551" width="58" style="9" customWidth="1"/>
    <col min="12552" max="12552" width="25" style="9" customWidth="1"/>
    <col min="12553" max="12553" width="20.7109375" style="9" customWidth="1"/>
    <col min="12554" max="12554" width="25" style="9" customWidth="1"/>
    <col min="12555" max="12789" width="9.140625" style="9" customWidth="1"/>
    <col min="12790" max="12790" width="6" style="9" customWidth="1"/>
    <col min="12791" max="12791" width="50.28515625" style="9" customWidth="1"/>
    <col min="12792" max="12793" width="0" style="9" hidden="1" customWidth="1"/>
    <col min="12794" max="12794" width="20.7109375" style="9" customWidth="1"/>
    <col min="12795" max="12795" width="23.28515625" style="9" customWidth="1"/>
    <col min="12796" max="12805" width="23.28515625" style="9"/>
    <col min="12806" max="12806" width="13.140625" style="9" customWidth="1"/>
    <col min="12807" max="12807" width="58" style="9" customWidth="1"/>
    <col min="12808" max="12808" width="25" style="9" customWidth="1"/>
    <col min="12809" max="12809" width="20.7109375" style="9" customWidth="1"/>
    <col min="12810" max="12810" width="25" style="9" customWidth="1"/>
    <col min="12811" max="13045" width="9.140625" style="9" customWidth="1"/>
    <col min="13046" max="13046" width="6" style="9" customWidth="1"/>
    <col min="13047" max="13047" width="50.28515625" style="9" customWidth="1"/>
    <col min="13048" max="13049" width="0" style="9" hidden="1" customWidth="1"/>
    <col min="13050" max="13050" width="20.7109375" style="9" customWidth="1"/>
    <col min="13051" max="13051" width="23.28515625" style="9" customWidth="1"/>
    <col min="13052" max="13061" width="23.28515625" style="9"/>
    <col min="13062" max="13062" width="13.140625" style="9" customWidth="1"/>
    <col min="13063" max="13063" width="58" style="9" customWidth="1"/>
    <col min="13064" max="13064" width="25" style="9" customWidth="1"/>
    <col min="13065" max="13065" width="20.7109375" style="9" customWidth="1"/>
    <col min="13066" max="13066" width="25" style="9" customWidth="1"/>
    <col min="13067" max="13301" width="9.140625" style="9" customWidth="1"/>
    <col min="13302" max="13302" width="6" style="9" customWidth="1"/>
    <col min="13303" max="13303" width="50.28515625" style="9" customWidth="1"/>
    <col min="13304" max="13305" width="0" style="9" hidden="1" customWidth="1"/>
    <col min="13306" max="13306" width="20.7109375" style="9" customWidth="1"/>
    <col min="13307" max="13307" width="23.28515625" style="9" customWidth="1"/>
    <col min="13308" max="13317" width="23.28515625" style="9"/>
    <col min="13318" max="13318" width="13.140625" style="9" customWidth="1"/>
    <col min="13319" max="13319" width="58" style="9" customWidth="1"/>
    <col min="13320" max="13320" width="25" style="9" customWidth="1"/>
    <col min="13321" max="13321" width="20.7109375" style="9" customWidth="1"/>
    <col min="13322" max="13322" width="25" style="9" customWidth="1"/>
    <col min="13323" max="13557" width="9.140625" style="9" customWidth="1"/>
    <col min="13558" max="13558" width="6" style="9" customWidth="1"/>
    <col min="13559" max="13559" width="50.28515625" style="9" customWidth="1"/>
    <col min="13560" max="13561" width="0" style="9" hidden="1" customWidth="1"/>
    <col min="13562" max="13562" width="20.7109375" style="9" customWidth="1"/>
    <col min="13563" max="13563" width="23.28515625" style="9" customWidth="1"/>
    <col min="13564" max="13573" width="23.28515625" style="9"/>
    <col min="13574" max="13574" width="13.140625" style="9" customWidth="1"/>
    <col min="13575" max="13575" width="58" style="9" customWidth="1"/>
    <col min="13576" max="13576" width="25" style="9" customWidth="1"/>
    <col min="13577" max="13577" width="20.7109375" style="9" customWidth="1"/>
    <col min="13578" max="13578" width="25" style="9" customWidth="1"/>
    <col min="13579" max="13813" width="9.140625" style="9" customWidth="1"/>
    <col min="13814" max="13814" width="6" style="9" customWidth="1"/>
    <col min="13815" max="13815" width="50.28515625" style="9" customWidth="1"/>
    <col min="13816" max="13817" width="0" style="9" hidden="1" customWidth="1"/>
    <col min="13818" max="13818" width="20.7109375" style="9" customWidth="1"/>
    <col min="13819" max="13819" width="23.28515625" style="9" customWidth="1"/>
    <col min="13820" max="13829" width="23.28515625" style="9"/>
    <col min="13830" max="13830" width="13.140625" style="9" customWidth="1"/>
    <col min="13831" max="13831" width="58" style="9" customWidth="1"/>
    <col min="13832" max="13832" width="25" style="9" customWidth="1"/>
    <col min="13833" max="13833" width="20.7109375" style="9" customWidth="1"/>
    <col min="13834" max="13834" width="25" style="9" customWidth="1"/>
    <col min="13835" max="14069" width="9.140625" style="9" customWidth="1"/>
    <col min="14070" max="14070" width="6" style="9" customWidth="1"/>
    <col min="14071" max="14071" width="50.28515625" style="9" customWidth="1"/>
    <col min="14072" max="14073" width="0" style="9" hidden="1" customWidth="1"/>
    <col min="14074" max="14074" width="20.7109375" style="9" customWidth="1"/>
    <col min="14075" max="14075" width="23.28515625" style="9" customWidth="1"/>
    <col min="14076" max="14085" width="23.28515625" style="9"/>
    <col min="14086" max="14086" width="13.140625" style="9" customWidth="1"/>
    <col min="14087" max="14087" width="58" style="9" customWidth="1"/>
    <col min="14088" max="14088" width="25" style="9" customWidth="1"/>
    <col min="14089" max="14089" width="20.7109375" style="9" customWidth="1"/>
    <col min="14090" max="14090" width="25" style="9" customWidth="1"/>
    <col min="14091" max="14325" width="9.140625" style="9" customWidth="1"/>
    <col min="14326" max="14326" width="6" style="9" customWidth="1"/>
    <col min="14327" max="14327" width="50.28515625" style="9" customWidth="1"/>
    <col min="14328" max="14329" width="0" style="9" hidden="1" customWidth="1"/>
    <col min="14330" max="14330" width="20.7109375" style="9" customWidth="1"/>
    <col min="14331" max="14331" width="23.28515625" style="9" customWidth="1"/>
    <col min="14332" max="14341" width="23.28515625" style="9"/>
    <col min="14342" max="14342" width="13.140625" style="9" customWidth="1"/>
    <col min="14343" max="14343" width="58" style="9" customWidth="1"/>
    <col min="14344" max="14344" width="25" style="9" customWidth="1"/>
    <col min="14345" max="14345" width="20.7109375" style="9" customWidth="1"/>
    <col min="14346" max="14346" width="25" style="9" customWidth="1"/>
    <col min="14347" max="14581" width="9.140625" style="9" customWidth="1"/>
    <col min="14582" max="14582" width="6" style="9" customWidth="1"/>
    <col min="14583" max="14583" width="50.28515625" style="9" customWidth="1"/>
    <col min="14584" max="14585" width="0" style="9" hidden="1" customWidth="1"/>
    <col min="14586" max="14586" width="20.7109375" style="9" customWidth="1"/>
    <col min="14587" max="14587" width="23.28515625" style="9" customWidth="1"/>
    <col min="14588" max="14597" width="23.28515625" style="9"/>
    <col min="14598" max="14598" width="13.140625" style="9" customWidth="1"/>
    <col min="14599" max="14599" width="58" style="9" customWidth="1"/>
    <col min="14600" max="14600" width="25" style="9" customWidth="1"/>
    <col min="14601" max="14601" width="20.7109375" style="9" customWidth="1"/>
    <col min="14602" max="14602" width="25" style="9" customWidth="1"/>
    <col min="14603" max="14837" width="9.140625" style="9" customWidth="1"/>
    <col min="14838" max="14838" width="6" style="9" customWidth="1"/>
    <col min="14839" max="14839" width="50.28515625" style="9" customWidth="1"/>
    <col min="14840" max="14841" width="0" style="9" hidden="1" customWidth="1"/>
    <col min="14842" max="14842" width="20.7109375" style="9" customWidth="1"/>
    <col min="14843" max="14843" width="23.28515625" style="9" customWidth="1"/>
    <col min="14844" max="14853" width="23.28515625" style="9"/>
    <col min="14854" max="14854" width="13.140625" style="9" customWidth="1"/>
    <col min="14855" max="14855" width="58" style="9" customWidth="1"/>
    <col min="14856" max="14856" width="25" style="9" customWidth="1"/>
    <col min="14857" max="14857" width="20.7109375" style="9" customWidth="1"/>
    <col min="14858" max="14858" width="25" style="9" customWidth="1"/>
    <col min="14859" max="15093" width="9.140625" style="9" customWidth="1"/>
    <col min="15094" max="15094" width="6" style="9" customWidth="1"/>
    <col min="15095" max="15095" width="50.28515625" style="9" customWidth="1"/>
    <col min="15096" max="15097" width="0" style="9" hidden="1" customWidth="1"/>
    <col min="15098" max="15098" width="20.7109375" style="9" customWidth="1"/>
    <col min="15099" max="15099" width="23.28515625" style="9" customWidth="1"/>
    <col min="15100" max="15109" width="23.28515625" style="9"/>
    <col min="15110" max="15110" width="13.140625" style="9" customWidth="1"/>
    <col min="15111" max="15111" width="58" style="9" customWidth="1"/>
    <col min="15112" max="15112" width="25" style="9" customWidth="1"/>
    <col min="15113" max="15113" width="20.7109375" style="9" customWidth="1"/>
    <col min="15114" max="15114" width="25" style="9" customWidth="1"/>
    <col min="15115" max="15349" width="9.140625" style="9" customWidth="1"/>
    <col min="15350" max="15350" width="6" style="9" customWidth="1"/>
    <col min="15351" max="15351" width="50.28515625" style="9" customWidth="1"/>
    <col min="15352" max="15353" width="0" style="9" hidden="1" customWidth="1"/>
    <col min="15354" max="15354" width="20.7109375" style="9" customWidth="1"/>
    <col min="15355" max="15355" width="23.28515625" style="9" customWidth="1"/>
    <col min="15356" max="15365" width="23.28515625" style="9"/>
    <col min="15366" max="15366" width="13.140625" style="9" customWidth="1"/>
    <col min="15367" max="15367" width="58" style="9" customWidth="1"/>
    <col min="15368" max="15368" width="25" style="9" customWidth="1"/>
    <col min="15369" max="15369" width="20.7109375" style="9" customWidth="1"/>
    <col min="15370" max="15370" width="25" style="9" customWidth="1"/>
    <col min="15371" max="15605" width="9.140625" style="9" customWidth="1"/>
    <col min="15606" max="15606" width="6" style="9" customWidth="1"/>
    <col min="15607" max="15607" width="50.28515625" style="9" customWidth="1"/>
    <col min="15608" max="15609" width="0" style="9" hidden="1" customWidth="1"/>
    <col min="15610" max="15610" width="20.7109375" style="9" customWidth="1"/>
    <col min="15611" max="15611" width="23.28515625" style="9" customWidth="1"/>
    <col min="15612" max="15621" width="23.28515625" style="9"/>
    <col min="15622" max="15622" width="13.140625" style="9" customWidth="1"/>
    <col min="15623" max="15623" width="58" style="9" customWidth="1"/>
    <col min="15624" max="15624" width="25" style="9" customWidth="1"/>
    <col min="15625" max="15625" width="20.7109375" style="9" customWidth="1"/>
    <col min="15626" max="15626" width="25" style="9" customWidth="1"/>
    <col min="15627" max="15861" width="9.140625" style="9" customWidth="1"/>
    <col min="15862" max="15862" width="6" style="9" customWidth="1"/>
    <col min="15863" max="15863" width="50.28515625" style="9" customWidth="1"/>
    <col min="15864" max="15865" width="0" style="9" hidden="1" customWidth="1"/>
    <col min="15866" max="15866" width="20.7109375" style="9" customWidth="1"/>
    <col min="15867" max="15867" width="23.28515625" style="9" customWidth="1"/>
    <col min="15868" max="15877" width="23.28515625" style="9"/>
    <col min="15878" max="15878" width="13.140625" style="9" customWidth="1"/>
    <col min="15879" max="15879" width="58" style="9" customWidth="1"/>
    <col min="15880" max="15880" width="25" style="9" customWidth="1"/>
    <col min="15881" max="15881" width="20.7109375" style="9" customWidth="1"/>
    <col min="15882" max="15882" width="25" style="9" customWidth="1"/>
    <col min="15883" max="16117" width="9.140625" style="9" customWidth="1"/>
    <col min="16118" max="16118" width="6" style="9" customWidth="1"/>
    <col min="16119" max="16119" width="50.28515625" style="9" customWidth="1"/>
    <col min="16120" max="16121" width="0" style="9" hidden="1" customWidth="1"/>
    <col min="16122" max="16122" width="20.7109375" style="9" customWidth="1"/>
    <col min="16123" max="16123" width="23.28515625" style="9" customWidth="1"/>
    <col min="16124" max="16133" width="23.28515625" style="9"/>
    <col min="16134" max="16134" width="13.140625" style="9" customWidth="1"/>
    <col min="16135" max="16135" width="58" style="9" customWidth="1"/>
    <col min="16136" max="16136" width="25" style="9" customWidth="1"/>
    <col min="16137" max="16137" width="20.7109375" style="9" customWidth="1"/>
    <col min="16138" max="16138" width="25" style="9" customWidth="1"/>
    <col min="16139" max="16373" width="9.140625" style="9" customWidth="1"/>
    <col min="16374" max="16374" width="6" style="9" customWidth="1"/>
    <col min="16375" max="16375" width="50.28515625" style="9" customWidth="1"/>
    <col min="16376" max="16377" width="0" style="9" hidden="1" customWidth="1"/>
    <col min="16378" max="16378" width="20.7109375" style="9" customWidth="1"/>
    <col min="16379" max="16379" width="23.28515625" style="9" customWidth="1"/>
    <col min="16380" max="16384" width="23.28515625" style="9"/>
  </cols>
  <sheetData>
    <row r="1" spans="1:251" ht="15.75" hidden="1">
      <c r="A1" s="512"/>
      <c r="B1" s="512"/>
      <c r="C1" s="512"/>
      <c r="D1" s="512"/>
      <c r="E1" s="512"/>
      <c r="F1" s="512"/>
      <c r="G1" s="512"/>
      <c r="H1" s="418"/>
      <c r="I1" s="8"/>
      <c r="J1" s="8"/>
      <c r="K1" s="8"/>
      <c r="L1" s="8"/>
      <c r="M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</row>
    <row r="2" spans="1:251" ht="15.75" hidden="1">
      <c r="A2" s="512"/>
      <c r="B2" s="512"/>
      <c r="C2" s="512"/>
      <c r="D2" s="512"/>
      <c r="E2" s="512"/>
      <c r="F2" s="512"/>
      <c r="G2" s="512"/>
      <c r="H2" s="418"/>
      <c r="I2" s="8"/>
      <c r="J2" s="8"/>
      <c r="K2" s="8"/>
      <c r="L2" s="8"/>
      <c r="M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spans="1:251" ht="15.75">
      <c r="C3" s="536" t="s">
        <v>445</v>
      </c>
      <c r="D3" s="536"/>
      <c r="E3" s="536"/>
      <c r="F3" s="536"/>
      <c r="G3" s="536"/>
      <c r="I3" s="13" t="s">
        <v>446</v>
      </c>
      <c r="J3" s="13" t="s">
        <v>447</v>
      </c>
      <c r="L3" s="537" t="s">
        <v>448</v>
      </c>
      <c r="M3" s="537"/>
      <c r="N3" s="537"/>
      <c r="O3" s="537"/>
      <c r="P3" s="537"/>
      <c r="Q3" s="537"/>
      <c r="R3" s="537"/>
    </row>
    <row r="4" spans="1:251" ht="21">
      <c r="A4" s="14" t="s">
        <v>106</v>
      </c>
      <c r="B4" s="15" t="s">
        <v>107</v>
      </c>
      <c r="C4" s="16">
        <v>2008</v>
      </c>
      <c r="D4" s="16">
        <v>2009</v>
      </c>
      <c r="E4" s="17">
        <v>2010</v>
      </c>
      <c r="F4" s="17">
        <v>2011</v>
      </c>
      <c r="G4" s="17">
        <v>2012</v>
      </c>
      <c r="H4" s="18" t="s">
        <v>108</v>
      </c>
      <c r="I4" s="17">
        <v>2013</v>
      </c>
      <c r="J4" s="17">
        <v>2014</v>
      </c>
      <c r="K4" s="17"/>
      <c r="L4" s="17">
        <v>2015</v>
      </c>
      <c r="M4" s="17"/>
      <c r="N4" s="17">
        <v>2016</v>
      </c>
      <c r="O4" s="17"/>
      <c r="P4" s="17">
        <v>2017</v>
      </c>
      <c r="Q4" s="17"/>
      <c r="R4" s="17">
        <v>2018</v>
      </c>
      <c r="S4" s="8" t="s">
        <v>8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9"/>
    </row>
    <row r="5" spans="1:251" ht="15.75">
      <c r="A5" s="19" t="s">
        <v>109</v>
      </c>
      <c r="B5" s="20" t="s">
        <v>110</v>
      </c>
      <c r="C5" s="21">
        <f>C6+C11+C16</f>
        <v>576614217128</v>
      </c>
      <c r="D5" s="21">
        <f t="shared" ref="D5:G5" si="0">D6+D11+D16</f>
        <v>623122779590</v>
      </c>
      <c r="E5" s="21">
        <f t="shared" si="0"/>
        <v>675659734845</v>
      </c>
      <c r="F5" s="21">
        <f t="shared" si="0"/>
        <v>823479890034</v>
      </c>
      <c r="G5" s="21">
        <f t="shared" si="0"/>
        <v>966815573681</v>
      </c>
      <c r="H5" s="17">
        <v>13.94</v>
      </c>
      <c r="I5" s="21">
        <f t="shared" ref="I5:R5" si="1">I6+I11+I16</f>
        <v>1039172438000</v>
      </c>
      <c r="J5" s="21">
        <f t="shared" si="1"/>
        <v>1133980164950</v>
      </c>
      <c r="K5" s="21"/>
      <c r="L5" s="21">
        <f t="shared" si="1"/>
        <v>1248007530999.5481</v>
      </c>
      <c r="M5" s="21"/>
      <c r="N5" s="21">
        <f t="shared" si="1"/>
        <v>1317992595000.4731</v>
      </c>
      <c r="O5" s="21"/>
      <c r="P5" s="21">
        <f t="shared" si="1"/>
        <v>1383602906000.0952</v>
      </c>
      <c r="Q5" s="21"/>
      <c r="R5" s="21">
        <f t="shared" si="1"/>
        <v>1464813082250.4517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9"/>
    </row>
    <row r="6" spans="1:251" ht="15.75">
      <c r="A6" s="19" t="s">
        <v>111</v>
      </c>
      <c r="B6" s="20" t="s">
        <v>112</v>
      </c>
      <c r="C6" s="22">
        <f>SUM(C7:C10)</f>
        <v>37923898939</v>
      </c>
      <c r="D6" s="22">
        <f t="shared" ref="D6:G6" si="2">SUM(D7:D10)</f>
        <v>47327328141</v>
      </c>
      <c r="E6" s="22">
        <f t="shared" si="2"/>
        <v>55211017361</v>
      </c>
      <c r="F6" s="22">
        <f t="shared" si="2"/>
        <v>63343494510</v>
      </c>
      <c r="G6" s="22">
        <f t="shared" si="2"/>
        <v>78514689212</v>
      </c>
      <c r="H6" s="17">
        <v>20.03</v>
      </c>
      <c r="I6" s="22">
        <f t="shared" ref="I6:R6" si="3">SUM(I7:I10)</f>
        <v>91966542000</v>
      </c>
      <c r="J6" s="22">
        <f t="shared" si="3"/>
        <v>98995824950</v>
      </c>
      <c r="K6" s="22"/>
      <c r="L6" s="22">
        <f t="shared" si="3"/>
        <v>121900487000</v>
      </c>
      <c r="M6" s="22"/>
      <c r="N6" s="22">
        <f t="shared" si="3"/>
        <v>127171160000</v>
      </c>
      <c r="O6" s="22"/>
      <c r="P6" s="22">
        <f t="shared" si="3"/>
        <v>115600114000</v>
      </c>
      <c r="Q6" s="22"/>
      <c r="R6" s="22">
        <f t="shared" si="3"/>
        <v>121035621250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9"/>
    </row>
    <row r="7" spans="1:251" ht="15.75">
      <c r="A7" s="23" t="s">
        <v>113</v>
      </c>
      <c r="B7" s="24" t="s">
        <v>114</v>
      </c>
      <c r="C7" s="25">
        <v>5819499860</v>
      </c>
      <c r="D7" s="25">
        <v>6194993566</v>
      </c>
      <c r="E7" s="26">
        <v>7389439664</v>
      </c>
      <c r="F7" s="26">
        <v>11212597968</v>
      </c>
      <c r="G7" s="25">
        <v>11470230704</v>
      </c>
      <c r="H7" s="27">
        <v>19.940000000000001</v>
      </c>
      <c r="I7" s="25">
        <v>23826100000</v>
      </c>
      <c r="J7" s="25">
        <v>23867000000</v>
      </c>
      <c r="K7" s="25"/>
      <c r="L7" s="25">
        <f>+'Pro-Pdpt'!M7</f>
        <v>26769671000</v>
      </c>
      <c r="M7" s="25"/>
      <c r="N7" s="25">
        <f>+'Pro-Pdpt'!N7</f>
        <v>27849314000</v>
      </c>
      <c r="O7" s="25"/>
      <c r="P7" s="25">
        <f>+'Pro-Pdpt'!O7</f>
        <v>30234958000</v>
      </c>
      <c r="Q7" s="25"/>
      <c r="R7" s="25">
        <f>+'Pro-Pdpt'!P7</f>
        <v>31818635000</v>
      </c>
      <c r="IQ7" s="9"/>
    </row>
    <row r="8" spans="1:251" ht="15.75">
      <c r="A8" s="28" t="s">
        <v>115</v>
      </c>
      <c r="B8" s="29" t="s">
        <v>116</v>
      </c>
      <c r="C8" s="30">
        <v>20067480541</v>
      </c>
      <c r="D8" s="30">
        <v>25974545346</v>
      </c>
      <c r="E8" s="31">
        <v>33365149779</v>
      </c>
      <c r="F8" s="31">
        <v>37984477775</v>
      </c>
      <c r="G8" s="30">
        <v>14038793022</v>
      </c>
      <c r="H8" s="32">
        <v>2.17</v>
      </c>
      <c r="I8" s="30">
        <v>14656229000</v>
      </c>
      <c r="J8" s="30">
        <v>24845904950</v>
      </c>
      <c r="K8" s="302"/>
      <c r="L8" s="25">
        <f>+'Pro-Pdpt'!M8</f>
        <v>25077816000</v>
      </c>
      <c r="M8" s="25"/>
      <c r="N8" s="25">
        <f>+'Pro-Pdpt'!N8</f>
        <v>25391186000</v>
      </c>
      <c r="O8" s="25"/>
      <c r="P8" s="25">
        <f>+'Pro-Pdpt'!O8</f>
        <v>25752418000</v>
      </c>
      <c r="Q8" s="25"/>
      <c r="R8" s="25">
        <f>+'Pro-Pdpt'!P8</f>
        <v>26097229250</v>
      </c>
      <c r="IQ8" s="9"/>
    </row>
    <row r="9" spans="1:251" ht="21">
      <c r="A9" s="28" t="s">
        <v>117</v>
      </c>
      <c r="B9" s="29" t="s">
        <v>118</v>
      </c>
      <c r="C9" s="30">
        <v>3082405844</v>
      </c>
      <c r="D9" s="30">
        <v>3878614576</v>
      </c>
      <c r="E9" s="31">
        <v>5402385086</v>
      </c>
      <c r="F9" s="31">
        <v>6682535195</v>
      </c>
      <c r="G9" s="30">
        <v>9555591771</v>
      </c>
      <c r="H9" s="32">
        <v>32.950000000000003</v>
      </c>
      <c r="I9" s="30">
        <v>10831063000</v>
      </c>
      <c r="J9" s="30">
        <v>9640000000</v>
      </c>
      <c r="K9" s="302"/>
      <c r="L9" s="25">
        <f>+'Pro-Pdpt'!M9</f>
        <v>10604000000</v>
      </c>
      <c r="M9" s="25"/>
      <c r="N9" s="25">
        <f>+'Pro-Pdpt'!N9</f>
        <v>12748899999.999998</v>
      </c>
      <c r="O9" s="25"/>
      <c r="P9" s="25">
        <f>+'Pro-Pdpt'!O9</f>
        <v>14661234999.999996</v>
      </c>
      <c r="Q9" s="25"/>
      <c r="R9" s="25">
        <f>+'Pro-Pdpt'!P9</f>
        <v>16860417999.999996</v>
      </c>
      <c r="IQ9" s="9"/>
    </row>
    <row r="10" spans="1:251" ht="21">
      <c r="A10" s="33" t="s">
        <v>119</v>
      </c>
      <c r="B10" s="34" t="s">
        <v>120</v>
      </c>
      <c r="C10" s="35">
        <v>8954512694</v>
      </c>
      <c r="D10" s="35">
        <v>11279174653</v>
      </c>
      <c r="E10" s="36">
        <v>9054042832</v>
      </c>
      <c r="F10" s="36">
        <v>7463883572</v>
      </c>
      <c r="G10" s="35">
        <v>43450073715</v>
      </c>
      <c r="H10" s="37">
        <v>117.7</v>
      </c>
      <c r="I10" s="35">
        <v>42653150000</v>
      </c>
      <c r="J10" s="35">
        <v>40642920000</v>
      </c>
      <c r="K10" s="563"/>
      <c r="L10" s="25">
        <f>+'Pro-Pdpt'!M10</f>
        <v>59449000000</v>
      </c>
      <c r="M10" s="25"/>
      <c r="N10" s="25">
        <f>+'Pro-Pdpt'!N10</f>
        <v>61181760000</v>
      </c>
      <c r="O10" s="25"/>
      <c r="P10" s="25">
        <f>+'Pro-Pdpt'!O10</f>
        <v>44951503000</v>
      </c>
      <c r="Q10" s="25"/>
      <c r="R10" s="25">
        <f>+'Pro-Pdpt'!P10</f>
        <v>46259339000</v>
      </c>
      <c r="IQ10" s="9"/>
    </row>
    <row r="11" spans="1:251" ht="15.75">
      <c r="A11" s="19" t="s">
        <v>121</v>
      </c>
      <c r="B11" s="20" t="s">
        <v>122</v>
      </c>
      <c r="C11" s="21">
        <f>SUM(C12:C14)</f>
        <v>497563580868</v>
      </c>
      <c r="D11" s="21">
        <f t="shared" ref="D11:G11" si="4">SUM(D12:D14)</f>
        <v>515228881135</v>
      </c>
      <c r="E11" s="38">
        <f t="shared" si="4"/>
        <v>522185893892</v>
      </c>
      <c r="F11" s="21">
        <f t="shared" si="4"/>
        <v>574917319097</v>
      </c>
      <c r="G11" s="21">
        <f t="shared" si="4"/>
        <v>707239144911</v>
      </c>
      <c r="H11" s="39">
        <v>9.5</v>
      </c>
      <c r="I11" s="21">
        <f t="shared" ref="I11" si="5">SUM(I12:I14)</f>
        <v>749673444000</v>
      </c>
      <c r="J11" s="21">
        <f>SUM(J12:J15)</f>
        <v>817035690000</v>
      </c>
      <c r="K11" s="21"/>
      <c r="L11" s="21">
        <f t="shared" ref="L11:P11" si="6">SUM(L12:L15)</f>
        <v>901921743999.5481</v>
      </c>
      <c r="M11" s="21"/>
      <c r="N11" s="21">
        <f t="shared" si="6"/>
        <v>966067046000.47302</v>
      </c>
      <c r="O11" s="21"/>
      <c r="P11" s="21">
        <f t="shared" si="6"/>
        <v>1042030626000.0953</v>
      </c>
      <c r="Q11" s="21"/>
      <c r="R11" s="21">
        <f>SUM(R12:R15)+1</f>
        <v>1116553844000.4517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9"/>
    </row>
    <row r="12" spans="1:251" ht="15.75">
      <c r="A12" s="23" t="s">
        <v>123</v>
      </c>
      <c r="B12" s="24" t="s">
        <v>124</v>
      </c>
      <c r="C12" s="25">
        <v>28359251868</v>
      </c>
      <c r="D12" s="25">
        <v>33774574135</v>
      </c>
      <c r="E12" s="26">
        <v>37300870892</v>
      </c>
      <c r="F12" s="26">
        <v>34945207097</v>
      </c>
      <c r="G12" s="25">
        <v>35777146911</v>
      </c>
      <c r="H12" s="40">
        <v>6.4</v>
      </c>
      <c r="I12" s="25">
        <v>51843530000</v>
      </c>
      <c r="J12" s="25">
        <v>48568127000</v>
      </c>
      <c r="K12" s="25"/>
      <c r="L12" s="25">
        <f>+'Pro-Pdpt'!M12</f>
        <v>53760500000</v>
      </c>
      <c r="M12" s="25"/>
      <c r="N12" s="25">
        <f>+'Pro-Pdpt'!N12</f>
        <v>54486500000</v>
      </c>
      <c r="O12" s="25"/>
      <c r="P12" s="25">
        <f>+'Pro-Pdpt'!O12</f>
        <v>55202500000</v>
      </c>
      <c r="Q12" s="25"/>
      <c r="R12" s="25">
        <f>+'Pro-Pdpt'!P12</f>
        <v>56119500000</v>
      </c>
      <c r="IQ12" s="9"/>
    </row>
    <row r="13" spans="1:251" ht="15.75">
      <c r="A13" s="28" t="s">
        <v>125</v>
      </c>
      <c r="B13" s="29" t="s">
        <v>126</v>
      </c>
      <c r="C13" s="30">
        <v>421056329000</v>
      </c>
      <c r="D13" s="30">
        <v>430269307000</v>
      </c>
      <c r="E13" s="31">
        <v>438090923000</v>
      </c>
      <c r="F13" s="31">
        <v>482937812000</v>
      </c>
      <c r="G13" s="30">
        <v>584158278000</v>
      </c>
      <c r="H13" s="41">
        <v>8.8000000000000007</v>
      </c>
      <c r="I13" s="30">
        <v>651171674000</v>
      </c>
      <c r="J13" s="30">
        <v>708764753000</v>
      </c>
      <c r="K13" s="302"/>
      <c r="L13" s="25">
        <f>+'[1]RCN 2014 (3)'!L160</f>
        <v>765757349999.5481</v>
      </c>
      <c r="M13" s="25"/>
      <c r="N13" s="25">
        <f>+'[1]RCN 2014 (3)'!M160</f>
        <v>827424535000.47302</v>
      </c>
      <c r="O13" s="25"/>
      <c r="P13" s="25">
        <f>+'[1]RCN 2014 (3)'!N160</f>
        <v>897867435000.22534</v>
      </c>
      <c r="Q13" s="25"/>
      <c r="R13" s="25">
        <f>+'[1]RCN 2014 (3)'!O160</f>
        <v>969614831999.69543</v>
      </c>
      <c r="S13" s="289"/>
      <c r="IQ13" s="9"/>
    </row>
    <row r="14" spans="1:251" ht="15.75">
      <c r="A14" s="33" t="s">
        <v>127</v>
      </c>
      <c r="B14" s="34" t="s">
        <v>128</v>
      </c>
      <c r="C14" s="35">
        <v>48148000000</v>
      </c>
      <c r="D14" s="35">
        <v>51185000000</v>
      </c>
      <c r="E14" s="36">
        <v>46794100000</v>
      </c>
      <c r="F14" s="36">
        <v>57034300000</v>
      </c>
      <c r="G14" s="35">
        <v>87303720000</v>
      </c>
      <c r="H14" s="42">
        <v>18.170000000000002</v>
      </c>
      <c r="I14" s="35">
        <v>46658240000</v>
      </c>
      <c r="J14" s="35">
        <v>56702810000</v>
      </c>
      <c r="K14" s="563"/>
      <c r="L14" s="25">
        <f>+'[1]RCN 2014 (3)'!L163</f>
        <v>79403894000</v>
      </c>
      <c r="M14" s="25"/>
      <c r="N14" s="25">
        <f>+'[1]RCN 2014 (3)'!M163</f>
        <v>81156011000</v>
      </c>
      <c r="O14" s="25"/>
      <c r="P14" s="25">
        <f>+'[1]RCN 2014 (3)'!N163</f>
        <v>85960690999.869995</v>
      </c>
      <c r="Q14" s="25"/>
      <c r="R14" s="25">
        <f>+'[1]RCN 2014 (3)'!O163</f>
        <v>87819511999.756104</v>
      </c>
      <c r="IQ14" s="9"/>
    </row>
    <row r="15" spans="1:251" ht="15.75">
      <c r="A15" s="288"/>
      <c r="B15" s="287" t="s">
        <v>423</v>
      </c>
      <c r="C15" s="284"/>
      <c r="D15" s="284"/>
      <c r="E15" s="286"/>
      <c r="F15" s="286"/>
      <c r="G15" s="284"/>
      <c r="H15" s="285"/>
      <c r="I15" s="284"/>
      <c r="J15" s="284">
        <v>3000000000</v>
      </c>
      <c r="K15" s="563"/>
      <c r="L15" s="314">
        <f>+'Pro-Pdpt'!M15</f>
        <v>3000000000</v>
      </c>
      <c r="M15" s="564"/>
      <c r="N15" s="315">
        <f>+L15</f>
        <v>3000000000</v>
      </c>
      <c r="O15" s="315"/>
      <c r="P15" s="315">
        <f>+N15</f>
        <v>3000000000</v>
      </c>
      <c r="Q15" s="315"/>
      <c r="R15" s="315">
        <f>+P15</f>
        <v>3000000000</v>
      </c>
      <c r="IQ15" s="9"/>
    </row>
    <row r="16" spans="1:251" ht="15.75">
      <c r="A16" s="19" t="s">
        <v>129</v>
      </c>
      <c r="B16" s="20" t="s">
        <v>130</v>
      </c>
      <c r="C16" s="21">
        <f>SUM(C17:C20)</f>
        <v>41126737321</v>
      </c>
      <c r="D16" s="21">
        <f t="shared" ref="D16:G16" si="7">SUM(D17:D20)</f>
        <v>60566570314</v>
      </c>
      <c r="E16" s="38">
        <f t="shared" si="7"/>
        <v>98262823592</v>
      </c>
      <c r="F16" s="21">
        <f t="shared" si="7"/>
        <v>185219076427</v>
      </c>
      <c r="G16" s="21">
        <f t="shared" si="7"/>
        <v>181061739558</v>
      </c>
      <c r="H16" s="39">
        <v>48.94</v>
      </c>
      <c r="I16" s="21">
        <f t="shared" ref="I16:R16" si="8">SUM(I17:I20)</f>
        <v>197532452000</v>
      </c>
      <c r="J16" s="21">
        <f t="shared" si="8"/>
        <v>217948650000</v>
      </c>
      <c r="K16" s="21"/>
      <c r="L16" s="21">
        <f t="shared" si="8"/>
        <v>224185300000</v>
      </c>
      <c r="M16" s="21"/>
      <c r="N16" s="21">
        <f t="shared" si="8"/>
        <v>224754389000</v>
      </c>
      <c r="O16" s="21"/>
      <c r="P16" s="21">
        <f t="shared" si="8"/>
        <v>225972166000</v>
      </c>
      <c r="Q16" s="21"/>
      <c r="R16" s="21">
        <f t="shared" si="8"/>
        <v>227223617000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9"/>
    </row>
    <row r="17" spans="1:251" ht="15.75">
      <c r="A17" s="23" t="s">
        <v>131</v>
      </c>
      <c r="B17" s="24" t="s">
        <v>132</v>
      </c>
      <c r="C17" s="25">
        <v>486231000</v>
      </c>
      <c r="D17" s="26">
        <v>3450101848</v>
      </c>
      <c r="E17" s="26">
        <v>2807704666</v>
      </c>
      <c r="F17" s="26">
        <v>696060800</v>
      </c>
      <c r="G17" s="25">
        <v>145820000</v>
      </c>
      <c r="H17" s="40">
        <v>109.17</v>
      </c>
      <c r="I17" s="25">
        <v>1051910000</v>
      </c>
      <c r="J17" s="25">
        <v>616150000</v>
      </c>
      <c r="K17" s="25"/>
      <c r="L17" s="25">
        <f>+'Pro-Pdpt'!M17</f>
        <v>616150000</v>
      </c>
      <c r="M17" s="25"/>
      <c r="N17" s="25">
        <f>+'Pro-Pdpt'!N17</f>
        <v>0</v>
      </c>
      <c r="O17" s="25"/>
      <c r="P17" s="25">
        <f>+'Pro-Pdpt'!O17</f>
        <v>0</v>
      </c>
      <c r="Q17" s="25"/>
      <c r="R17" s="25">
        <f>+'Pro-Pdpt'!P17</f>
        <v>0</v>
      </c>
      <c r="IQ17" s="9"/>
    </row>
    <row r="18" spans="1:251" ht="21">
      <c r="A18" s="28" t="s">
        <v>133</v>
      </c>
      <c r="B18" s="29" t="s">
        <v>134</v>
      </c>
      <c r="C18" s="30">
        <v>20870379396</v>
      </c>
      <c r="D18" s="31">
        <v>33186737016</v>
      </c>
      <c r="E18" s="31">
        <v>37428136126</v>
      </c>
      <c r="F18" s="31">
        <v>43614720307</v>
      </c>
      <c r="G18" s="30">
        <v>60284458558</v>
      </c>
      <c r="H18" s="41">
        <v>31.64</v>
      </c>
      <c r="I18" s="30">
        <v>31916581000</v>
      </c>
      <c r="J18" s="30">
        <v>41338000000</v>
      </c>
      <c r="K18" s="302"/>
      <c r="L18" s="25">
        <f>+'Pro-Pdpt'!M18</f>
        <v>44815750000</v>
      </c>
      <c r="M18" s="25"/>
      <c r="N18" s="25">
        <f>+'Pro-Pdpt'!N18</f>
        <v>46000988999.999992</v>
      </c>
      <c r="O18" s="25"/>
      <c r="P18" s="25">
        <f>+'Pro-Pdpt'!O18</f>
        <v>47218765999.999985</v>
      </c>
      <c r="Q18" s="25"/>
      <c r="R18" s="25">
        <f>+'Pro-Pdpt'!P18</f>
        <v>48470216999.999985</v>
      </c>
      <c r="IQ18" s="9"/>
    </row>
    <row r="19" spans="1:251" ht="15.75">
      <c r="A19" s="28" t="s">
        <v>135</v>
      </c>
      <c r="B19" s="29" t="s">
        <v>136</v>
      </c>
      <c r="C19" s="30">
        <v>6026638800</v>
      </c>
      <c r="D19" s="31">
        <v>12207750000</v>
      </c>
      <c r="E19" s="31">
        <v>42742778800</v>
      </c>
      <c r="F19" s="31">
        <v>122342105320</v>
      </c>
      <c r="G19" s="30">
        <v>99581821000</v>
      </c>
      <c r="H19" s="41">
        <v>130.08000000000001</v>
      </c>
      <c r="I19" s="30">
        <v>136253400000</v>
      </c>
      <c r="J19" s="30">
        <v>136253400000</v>
      </c>
      <c r="K19" s="302"/>
      <c r="L19" s="25">
        <f>+'Pro-Pdpt'!M19</f>
        <v>136253400000</v>
      </c>
      <c r="M19" s="25"/>
      <c r="N19" s="25">
        <f>+'Pro-Pdpt'!N19</f>
        <v>136253400000</v>
      </c>
      <c r="O19" s="25"/>
      <c r="P19" s="25">
        <f>+'Pro-Pdpt'!O19</f>
        <v>136253400000</v>
      </c>
      <c r="Q19" s="25"/>
      <c r="R19" s="25">
        <f>+'Pro-Pdpt'!P19</f>
        <v>136253400000</v>
      </c>
      <c r="IQ19" s="9"/>
    </row>
    <row r="20" spans="1:251" ht="21">
      <c r="A20" s="33" t="s">
        <v>137</v>
      </c>
      <c r="B20" s="34" t="s">
        <v>138</v>
      </c>
      <c r="C20" s="35">
        <v>13743488125</v>
      </c>
      <c r="D20" s="36">
        <v>11721981450</v>
      </c>
      <c r="E20" s="36">
        <v>15284204000</v>
      </c>
      <c r="F20" s="36">
        <v>18566190000</v>
      </c>
      <c r="G20" s="35">
        <v>21049640000</v>
      </c>
      <c r="H20" s="42">
        <v>12.63</v>
      </c>
      <c r="I20" s="35">
        <v>28310561000</v>
      </c>
      <c r="J20" s="35">
        <v>39741100000</v>
      </c>
      <c r="K20" s="563"/>
      <c r="L20" s="25">
        <f>+'Pro-Pdpt'!M20</f>
        <v>42500000000</v>
      </c>
      <c r="M20" s="25"/>
      <c r="N20" s="25">
        <f>+'Pro-Pdpt'!N20</f>
        <v>42500000000</v>
      </c>
      <c r="O20" s="25"/>
      <c r="P20" s="25">
        <f>+'Pro-Pdpt'!O20</f>
        <v>42500000000</v>
      </c>
      <c r="Q20" s="25"/>
      <c r="R20" s="25">
        <f>+'Pro-Pdpt'!P20</f>
        <v>42500000000</v>
      </c>
      <c r="IQ20" s="9"/>
    </row>
    <row r="21" spans="1:251" ht="15.75">
      <c r="A21" s="43"/>
      <c r="B21" s="44"/>
      <c r="L21" s="277"/>
      <c r="M21" s="277"/>
      <c r="N21" s="13"/>
      <c r="O21" s="13"/>
      <c r="IQ21" s="9"/>
    </row>
    <row r="22" spans="1:251" s="295" customFormat="1" ht="11.25">
      <c r="A22" s="300" t="s">
        <v>106</v>
      </c>
      <c r="B22" s="18" t="s">
        <v>142</v>
      </c>
      <c r="C22" s="301">
        <v>2008</v>
      </c>
      <c r="D22" s="301">
        <v>2009</v>
      </c>
      <c r="E22" s="300">
        <v>2010</v>
      </c>
      <c r="F22" s="300">
        <v>2011</v>
      </c>
      <c r="G22" s="301">
        <v>2012</v>
      </c>
      <c r="H22" s="299">
        <v>2013</v>
      </c>
      <c r="I22" s="299">
        <v>2013</v>
      </c>
      <c r="J22" s="299">
        <v>2014</v>
      </c>
      <c r="K22" s="299"/>
      <c r="L22" s="299">
        <v>2015</v>
      </c>
      <c r="M22" s="299"/>
      <c r="N22" s="299">
        <v>2016</v>
      </c>
      <c r="O22" s="299"/>
      <c r="P22" s="299">
        <v>2017</v>
      </c>
      <c r="Q22" s="299"/>
      <c r="R22" s="299">
        <v>2018</v>
      </c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  <c r="ES22" s="299"/>
      <c r="ET22" s="299"/>
      <c r="EU22" s="299"/>
      <c r="EV22" s="299"/>
      <c r="EW22" s="299"/>
      <c r="EX22" s="299"/>
      <c r="EY22" s="299"/>
      <c r="EZ22" s="299"/>
      <c r="FA22" s="299"/>
      <c r="FB22" s="299"/>
      <c r="FC22" s="299"/>
      <c r="FD22" s="299"/>
      <c r="FE22" s="299"/>
      <c r="FF22" s="299"/>
      <c r="FG22" s="299"/>
      <c r="FH22" s="299"/>
      <c r="FI22" s="299"/>
      <c r="FJ22" s="299"/>
      <c r="FK22" s="299"/>
      <c r="FL22" s="299"/>
      <c r="FM22" s="299"/>
      <c r="FN22" s="299"/>
      <c r="FO22" s="299"/>
      <c r="FP22" s="299"/>
      <c r="FQ22" s="299"/>
      <c r="FR22" s="299"/>
      <c r="FS22" s="299"/>
      <c r="FT22" s="299"/>
      <c r="FU22" s="299"/>
      <c r="FV22" s="299"/>
      <c r="FW22" s="299"/>
      <c r="FX22" s="299"/>
      <c r="FY22" s="299"/>
      <c r="FZ22" s="299"/>
      <c r="GA22" s="299"/>
      <c r="GB22" s="299"/>
      <c r="GC22" s="299"/>
      <c r="GD22" s="299"/>
      <c r="GE22" s="299"/>
      <c r="GF22" s="299"/>
      <c r="GG22" s="299"/>
      <c r="GH22" s="299"/>
      <c r="GI22" s="299"/>
      <c r="GJ22" s="299"/>
      <c r="GK22" s="299"/>
      <c r="GL22" s="299"/>
      <c r="GM22" s="299"/>
      <c r="GN22" s="299"/>
      <c r="GO22" s="299"/>
      <c r="GP22" s="299"/>
      <c r="GQ22" s="299"/>
      <c r="GR22" s="299"/>
      <c r="GS22" s="299"/>
      <c r="GT22" s="299"/>
      <c r="GU22" s="299"/>
      <c r="GV22" s="299"/>
      <c r="GW22" s="299"/>
      <c r="GX22" s="299"/>
      <c r="GY22" s="299"/>
      <c r="GZ22" s="299"/>
      <c r="HA22" s="299"/>
      <c r="HB22" s="299"/>
      <c r="HC22" s="299"/>
      <c r="HD22" s="299"/>
      <c r="HE22" s="299"/>
      <c r="HF22" s="299"/>
      <c r="HG22" s="299"/>
      <c r="HH22" s="299"/>
      <c r="HI22" s="299"/>
      <c r="HJ22" s="299"/>
      <c r="HK22" s="299"/>
      <c r="HL22" s="299"/>
      <c r="HM22" s="299"/>
      <c r="HN22" s="299"/>
      <c r="HO22" s="299"/>
      <c r="HP22" s="299"/>
      <c r="HQ22" s="299"/>
      <c r="HR22" s="299"/>
      <c r="HS22" s="299"/>
      <c r="HT22" s="299"/>
      <c r="HU22" s="299"/>
      <c r="HV22" s="299"/>
      <c r="HW22" s="299"/>
      <c r="HX22" s="299"/>
      <c r="HY22" s="299"/>
      <c r="HZ22" s="299"/>
      <c r="IA22" s="299"/>
      <c r="IB22" s="299"/>
      <c r="IC22" s="299"/>
      <c r="ID22" s="299"/>
      <c r="IE22" s="299"/>
      <c r="IF22" s="299"/>
      <c r="IG22" s="299"/>
      <c r="IH22" s="299"/>
      <c r="II22" s="299"/>
      <c r="IJ22" s="299"/>
      <c r="IK22" s="299"/>
      <c r="IL22" s="299"/>
      <c r="IM22" s="299"/>
      <c r="IN22" s="299"/>
      <c r="IO22" s="299"/>
      <c r="IP22" s="299"/>
    </row>
    <row r="23" spans="1:251" s="295" customFormat="1" ht="11.25">
      <c r="A23" s="19" t="s">
        <v>143</v>
      </c>
      <c r="B23" s="20" t="s">
        <v>144</v>
      </c>
      <c r="C23" s="21">
        <f>+C24+C32</f>
        <v>611356971071</v>
      </c>
      <c r="D23" s="21">
        <f t="shared" ref="D23:R23" si="9">+D24+D32</f>
        <v>606966527358</v>
      </c>
      <c r="E23" s="21">
        <f t="shared" si="9"/>
        <v>662203879316</v>
      </c>
      <c r="F23" s="21">
        <f t="shared" si="9"/>
        <v>816160548955</v>
      </c>
      <c r="G23" s="21">
        <f t="shared" si="9"/>
        <v>956324159986</v>
      </c>
      <c r="H23" s="21">
        <f t="shared" si="9"/>
        <v>1175501480163</v>
      </c>
      <c r="I23" s="21">
        <f t="shared" si="9"/>
        <v>1175501480163</v>
      </c>
      <c r="J23" s="21">
        <f t="shared" si="9"/>
        <v>1233002583300</v>
      </c>
      <c r="K23" s="21"/>
      <c r="L23" s="21">
        <f t="shared" si="9"/>
        <v>1265507531000.3335</v>
      </c>
      <c r="M23" s="21"/>
      <c r="N23" s="21">
        <f t="shared" si="9"/>
        <v>1308492595000</v>
      </c>
      <c r="O23" s="21"/>
      <c r="P23" s="21">
        <f t="shared" si="9"/>
        <v>1374102906000.375</v>
      </c>
      <c r="Q23" s="21"/>
      <c r="R23" s="21">
        <f t="shared" si="9"/>
        <v>1478813082250.2969</v>
      </c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  <c r="IM23" s="294"/>
      <c r="IN23" s="294"/>
      <c r="IO23" s="294"/>
      <c r="IP23" s="294"/>
    </row>
    <row r="24" spans="1:251" s="295" customFormat="1" ht="11.25">
      <c r="A24" s="19" t="s">
        <v>145</v>
      </c>
      <c r="B24" s="20" t="s">
        <v>0</v>
      </c>
      <c r="C24" s="21">
        <f>SUM(C25:C31)</f>
        <v>410463264154</v>
      </c>
      <c r="D24" s="21">
        <f t="shared" ref="D24:G24" si="10">SUM(D25:D31)</f>
        <v>433902643778</v>
      </c>
      <c r="E24" s="21">
        <f t="shared" si="10"/>
        <v>523968868116</v>
      </c>
      <c r="F24" s="21">
        <f t="shared" si="10"/>
        <v>600658730241</v>
      </c>
      <c r="G24" s="21">
        <f t="shared" si="10"/>
        <v>639977390628</v>
      </c>
      <c r="H24" s="21">
        <f>SUM(H25:H31)</f>
        <v>745483287805</v>
      </c>
      <c r="I24" s="21">
        <f t="shared" ref="I24:L24" si="11">SUM(I25:I31)</f>
        <v>745483287805</v>
      </c>
      <c r="J24" s="21">
        <f t="shared" si="11"/>
        <v>761640575446</v>
      </c>
      <c r="K24" s="21"/>
      <c r="L24" s="21">
        <f t="shared" si="11"/>
        <v>837373293000.33337</v>
      </c>
      <c r="M24" s="21"/>
      <c r="N24" s="21">
        <f>SUM(N25:N31)</f>
        <v>879418559000</v>
      </c>
      <c r="O24" s="21"/>
      <c r="P24" s="21">
        <f t="shared" ref="P24:R24" si="12">SUM(P25:P31)</f>
        <v>928668209000.375</v>
      </c>
      <c r="Q24" s="21"/>
      <c r="R24" s="21">
        <f t="shared" si="12"/>
        <v>1001309326250.2969</v>
      </c>
      <c r="S24" s="316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</row>
    <row r="25" spans="1:251" s="295" customFormat="1" ht="11.25">
      <c r="A25" s="23" t="s">
        <v>146</v>
      </c>
      <c r="B25" s="24" t="s">
        <v>5</v>
      </c>
      <c r="C25" s="25">
        <v>309926055084</v>
      </c>
      <c r="D25" s="302">
        <v>339675023000</v>
      </c>
      <c r="E25" s="303">
        <v>420371009427</v>
      </c>
      <c r="F25" s="303">
        <v>474666829278</v>
      </c>
      <c r="G25" s="304">
        <v>540996735761</v>
      </c>
      <c r="H25" s="305">
        <v>597730844785</v>
      </c>
      <c r="I25" s="305">
        <f>+'[1]Pro-Blj'!H7</f>
        <v>597730844785</v>
      </c>
      <c r="J25" s="305">
        <f>+'[1]Pro-Blj'!I7</f>
        <v>633897936446</v>
      </c>
      <c r="K25" s="305"/>
      <c r="L25" s="305">
        <f>+'[1]BELANJA WAJIB'!E13-606080000</f>
        <v>695879820000</v>
      </c>
      <c r="M25" s="305"/>
      <c r="N25" s="305">
        <f>+'[1]BELANJA WAJIB'!F13-869674000</f>
        <v>738493920000</v>
      </c>
      <c r="O25" s="305"/>
      <c r="P25" s="305">
        <f>+'[1]BELANJA WAJIB'!G13-748877000</f>
        <v>785021570000.375</v>
      </c>
      <c r="Q25" s="305"/>
      <c r="R25" s="305">
        <f>+'[1]BELANJA WAJIB'!H13-825933750</f>
        <v>836690687250.29687</v>
      </c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299"/>
      <c r="EN25" s="299"/>
      <c r="EO25" s="299"/>
      <c r="EP25" s="299"/>
      <c r="EQ25" s="299"/>
      <c r="ER25" s="299"/>
      <c r="ES25" s="299"/>
      <c r="ET25" s="299"/>
      <c r="EU25" s="299"/>
      <c r="EV25" s="299"/>
      <c r="EW25" s="299"/>
      <c r="EX25" s="299"/>
      <c r="EY25" s="299"/>
      <c r="EZ25" s="299"/>
      <c r="FA25" s="299"/>
      <c r="FB25" s="299"/>
      <c r="FC25" s="299"/>
      <c r="FD25" s="299"/>
      <c r="FE25" s="299"/>
      <c r="FF25" s="299"/>
      <c r="FG25" s="299"/>
      <c r="FH25" s="299"/>
      <c r="FI25" s="299"/>
      <c r="FJ25" s="299"/>
      <c r="FK25" s="299"/>
      <c r="FL25" s="299"/>
      <c r="FM25" s="299"/>
      <c r="FN25" s="299"/>
      <c r="FO25" s="299"/>
      <c r="FP25" s="299"/>
      <c r="FQ25" s="299"/>
      <c r="FR25" s="299"/>
      <c r="FS25" s="299"/>
      <c r="FT25" s="299"/>
      <c r="FU25" s="299"/>
      <c r="FV25" s="299"/>
      <c r="FW25" s="299"/>
      <c r="FX25" s="299"/>
      <c r="FY25" s="299"/>
      <c r="FZ25" s="299"/>
      <c r="GA25" s="299"/>
      <c r="GB25" s="299"/>
      <c r="GC25" s="299"/>
      <c r="GD25" s="299"/>
      <c r="GE25" s="299"/>
      <c r="GF25" s="299"/>
      <c r="GG25" s="299"/>
      <c r="GH25" s="299"/>
      <c r="GI25" s="299"/>
      <c r="GJ25" s="299"/>
      <c r="GK25" s="299"/>
      <c r="GL25" s="299"/>
      <c r="GM25" s="299"/>
      <c r="GN25" s="299"/>
      <c r="GO25" s="299"/>
      <c r="GP25" s="299"/>
      <c r="GQ25" s="299"/>
      <c r="GR25" s="299"/>
      <c r="GS25" s="299"/>
      <c r="GT25" s="299"/>
      <c r="GU25" s="299"/>
      <c r="GV25" s="299"/>
      <c r="GW25" s="299"/>
      <c r="GX25" s="299"/>
      <c r="GY25" s="299"/>
      <c r="GZ25" s="299"/>
      <c r="HA25" s="299"/>
      <c r="HB25" s="299"/>
      <c r="HC25" s="299"/>
      <c r="HD25" s="299"/>
      <c r="HE25" s="299"/>
      <c r="HF25" s="299"/>
      <c r="HG25" s="299"/>
      <c r="HH25" s="299"/>
      <c r="HI25" s="299"/>
      <c r="HJ25" s="299"/>
      <c r="HK25" s="299"/>
      <c r="HL25" s="299"/>
      <c r="HM25" s="299"/>
      <c r="HN25" s="299"/>
      <c r="HO25" s="299"/>
      <c r="HP25" s="299"/>
      <c r="HQ25" s="299"/>
      <c r="HR25" s="299"/>
      <c r="HS25" s="299"/>
      <c r="HT25" s="299"/>
      <c r="HU25" s="299"/>
      <c r="HV25" s="299"/>
      <c r="HW25" s="299"/>
      <c r="HX25" s="299"/>
      <c r="HY25" s="299"/>
      <c r="HZ25" s="299"/>
      <c r="IA25" s="299"/>
      <c r="IB25" s="299"/>
      <c r="IC25" s="299"/>
      <c r="ID25" s="299"/>
      <c r="IE25" s="299"/>
      <c r="IF25" s="299"/>
      <c r="IG25" s="299"/>
      <c r="IH25" s="299"/>
      <c r="II25" s="299"/>
      <c r="IJ25" s="299"/>
      <c r="IK25" s="299"/>
      <c r="IL25" s="299"/>
      <c r="IM25" s="299"/>
      <c r="IN25" s="299"/>
      <c r="IO25" s="299"/>
      <c r="IP25" s="299"/>
    </row>
    <row r="26" spans="1:251" s="295" customFormat="1" ht="11.25">
      <c r="A26" s="28" t="s">
        <v>147</v>
      </c>
      <c r="B26" s="29" t="s">
        <v>6</v>
      </c>
      <c r="C26" s="30">
        <v>3360639</v>
      </c>
      <c r="D26" s="30"/>
      <c r="E26" s="32"/>
      <c r="F26" s="32"/>
      <c r="G26" s="306">
        <v>0</v>
      </c>
      <c r="H26" s="305">
        <v>1448750000</v>
      </c>
      <c r="I26" s="305">
        <f>+'[1]Pro-Blj'!H8</f>
        <v>1448750000</v>
      </c>
      <c r="J26" s="305">
        <f>+'[1]Pro-Blj'!I8</f>
        <v>2000000000</v>
      </c>
      <c r="K26" s="305"/>
      <c r="L26" s="305">
        <f>+N118*1000000+667</f>
        <v>5304834000.3333359</v>
      </c>
      <c r="M26" s="305"/>
      <c r="N26" s="305">
        <f>+N119*1000000</f>
        <v>4536000000</v>
      </c>
      <c r="O26" s="305"/>
      <c r="P26" s="317">
        <f>+N120*1000000</f>
        <v>2808000000</v>
      </c>
      <c r="Q26" s="317"/>
      <c r="R26" s="317">
        <f>+N121*1000000</f>
        <v>1080000000</v>
      </c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299"/>
      <c r="ER26" s="299"/>
      <c r="ES26" s="299"/>
      <c r="ET26" s="299"/>
      <c r="EU26" s="299"/>
      <c r="EV26" s="299"/>
      <c r="EW26" s="299"/>
      <c r="EX26" s="299"/>
      <c r="EY26" s="299"/>
      <c r="EZ26" s="299"/>
      <c r="FA26" s="299"/>
      <c r="FB26" s="299"/>
      <c r="FC26" s="299"/>
      <c r="FD26" s="299"/>
      <c r="FE26" s="299"/>
      <c r="FF26" s="299"/>
      <c r="FG26" s="299"/>
      <c r="FH26" s="299"/>
      <c r="FI26" s="299"/>
      <c r="FJ26" s="299"/>
      <c r="FK26" s="299"/>
      <c r="FL26" s="299"/>
      <c r="FM26" s="299"/>
      <c r="FN26" s="299"/>
      <c r="FO26" s="299"/>
      <c r="FP26" s="299"/>
      <c r="FQ26" s="299"/>
      <c r="FR26" s="299"/>
      <c r="FS26" s="299"/>
      <c r="FT26" s="299"/>
      <c r="FU26" s="299"/>
      <c r="FV26" s="299"/>
      <c r="FW26" s="299"/>
      <c r="FX26" s="299"/>
      <c r="FY26" s="299"/>
      <c r="FZ26" s="299"/>
      <c r="GA26" s="299"/>
      <c r="GB26" s="299"/>
      <c r="GC26" s="299"/>
      <c r="GD26" s="299"/>
      <c r="GE26" s="299"/>
      <c r="GF26" s="299"/>
      <c r="GG26" s="299"/>
      <c r="GH26" s="299"/>
      <c r="GI26" s="299"/>
      <c r="GJ26" s="299"/>
      <c r="GK26" s="299"/>
      <c r="GL26" s="299"/>
      <c r="GM26" s="299"/>
      <c r="GN26" s="299"/>
      <c r="GO26" s="299"/>
      <c r="GP26" s="299"/>
      <c r="GQ26" s="299"/>
      <c r="GR26" s="299"/>
      <c r="GS26" s="299"/>
      <c r="GT26" s="299"/>
      <c r="GU26" s="299"/>
      <c r="GV26" s="299"/>
      <c r="GW26" s="299"/>
      <c r="GX26" s="299"/>
      <c r="GY26" s="299"/>
      <c r="GZ26" s="299"/>
      <c r="HA26" s="299"/>
      <c r="HB26" s="299"/>
      <c r="HC26" s="299"/>
      <c r="HD26" s="299"/>
      <c r="HE26" s="299"/>
      <c r="HF26" s="299"/>
      <c r="HG26" s="299"/>
      <c r="HH26" s="299"/>
      <c r="HI26" s="299"/>
      <c r="HJ26" s="299"/>
      <c r="HK26" s="299"/>
      <c r="HL26" s="299"/>
      <c r="HM26" s="299"/>
      <c r="HN26" s="299"/>
      <c r="HO26" s="299"/>
      <c r="HP26" s="299"/>
      <c r="HQ26" s="299"/>
      <c r="HR26" s="299"/>
      <c r="HS26" s="299"/>
      <c r="HT26" s="299"/>
      <c r="HU26" s="299"/>
      <c r="HV26" s="299"/>
      <c r="HW26" s="299"/>
      <c r="HX26" s="299"/>
      <c r="HY26" s="299"/>
      <c r="HZ26" s="299"/>
      <c r="IA26" s="299"/>
      <c r="IB26" s="299"/>
      <c r="IC26" s="299"/>
      <c r="ID26" s="299"/>
      <c r="IE26" s="299"/>
      <c r="IF26" s="299"/>
      <c r="IG26" s="299"/>
      <c r="IH26" s="299"/>
      <c r="II26" s="299"/>
      <c r="IJ26" s="299"/>
      <c r="IK26" s="299"/>
      <c r="IL26" s="299"/>
      <c r="IM26" s="299"/>
      <c r="IN26" s="299"/>
      <c r="IO26" s="299"/>
      <c r="IP26" s="299"/>
    </row>
    <row r="27" spans="1:251" s="326" customFormat="1" ht="11.25">
      <c r="A27" s="318" t="s">
        <v>148</v>
      </c>
      <c r="B27" s="319" t="s">
        <v>149</v>
      </c>
      <c r="C27" s="320">
        <v>17715623937</v>
      </c>
      <c r="D27" s="320">
        <v>36944486475</v>
      </c>
      <c r="E27" s="321">
        <v>39298203555</v>
      </c>
      <c r="F27" s="321">
        <v>60528447883</v>
      </c>
      <c r="G27" s="322">
        <v>40922373670</v>
      </c>
      <c r="H27" s="323">
        <v>62801569520</v>
      </c>
      <c r="I27" s="323">
        <f>+'[1]Pro-Blj'!H9</f>
        <v>62801569520</v>
      </c>
      <c r="J27" s="323">
        <f>+'[1]Pro-Blj'!I9+12000000000</f>
        <v>54790840000</v>
      </c>
      <c r="K27" s="323"/>
      <c r="L27" s="323">
        <f>J27</f>
        <v>54790840000</v>
      </c>
      <c r="M27" s="323"/>
      <c r="N27" s="323">
        <f>+L27</f>
        <v>54790840000</v>
      </c>
      <c r="O27" s="323"/>
      <c r="P27" s="324">
        <f>+N27+2000000000</f>
        <v>56790840000</v>
      </c>
      <c r="Q27" s="324"/>
      <c r="R27" s="324">
        <f>+P27+20000000000+500000000</f>
        <v>77290840000</v>
      </c>
      <c r="S27" s="324">
        <f>R27</f>
        <v>77290840000</v>
      </c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  <c r="CB27" s="325"/>
      <c r="CC27" s="325"/>
      <c r="CD27" s="325"/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5"/>
      <c r="EY27" s="325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5"/>
      <c r="FL27" s="325"/>
      <c r="FM27" s="325"/>
      <c r="FN27" s="325"/>
      <c r="FO27" s="325"/>
      <c r="FP27" s="325"/>
      <c r="FQ27" s="325"/>
      <c r="FR27" s="325"/>
      <c r="FS27" s="325"/>
      <c r="FT27" s="325"/>
      <c r="FU27" s="325"/>
      <c r="FV27" s="325"/>
      <c r="FW27" s="325"/>
      <c r="FX27" s="325"/>
      <c r="FY27" s="325"/>
      <c r="FZ27" s="325"/>
      <c r="GA27" s="325"/>
      <c r="GB27" s="325"/>
      <c r="GC27" s="325"/>
      <c r="GD27" s="325"/>
      <c r="GE27" s="325"/>
      <c r="GF27" s="325"/>
      <c r="GG27" s="325"/>
      <c r="GH27" s="325"/>
      <c r="GI27" s="325"/>
      <c r="GJ27" s="325"/>
      <c r="GK27" s="325"/>
      <c r="GL27" s="325"/>
      <c r="GM27" s="325"/>
      <c r="GN27" s="325"/>
      <c r="GO27" s="325"/>
      <c r="GP27" s="325"/>
      <c r="GQ27" s="325"/>
      <c r="GR27" s="325"/>
      <c r="GS27" s="325"/>
      <c r="GT27" s="325"/>
      <c r="GU27" s="325"/>
      <c r="GV27" s="325"/>
      <c r="GW27" s="325"/>
      <c r="GX27" s="325"/>
      <c r="GY27" s="325"/>
      <c r="GZ27" s="325"/>
      <c r="HA27" s="325"/>
      <c r="HB27" s="325"/>
      <c r="HC27" s="325"/>
      <c r="HD27" s="325"/>
      <c r="HE27" s="325"/>
      <c r="HF27" s="325"/>
      <c r="HG27" s="325"/>
      <c r="HH27" s="325"/>
      <c r="HI27" s="325"/>
      <c r="HJ27" s="325"/>
      <c r="HK27" s="325"/>
      <c r="HL27" s="325"/>
      <c r="HM27" s="325"/>
      <c r="HN27" s="325"/>
      <c r="HO27" s="325"/>
      <c r="HP27" s="325"/>
      <c r="HQ27" s="325"/>
      <c r="HR27" s="325"/>
      <c r="HS27" s="325"/>
      <c r="HT27" s="325"/>
      <c r="HU27" s="325"/>
      <c r="HV27" s="325"/>
      <c r="HW27" s="325"/>
      <c r="HX27" s="325"/>
      <c r="HY27" s="325"/>
      <c r="HZ27" s="325"/>
      <c r="IA27" s="325"/>
      <c r="IB27" s="325"/>
      <c r="IC27" s="325"/>
      <c r="ID27" s="325"/>
      <c r="IE27" s="325"/>
      <c r="IF27" s="325"/>
      <c r="IG27" s="325"/>
      <c r="IH27" s="325"/>
      <c r="II27" s="325"/>
      <c r="IJ27" s="325"/>
      <c r="IK27" s="325"/>
      <c r="IL27" s="325"/>
      <c r="IM27" s="325"/>
      <c r="IN27" s="325"/>
      <c r="IO27" s="325"/>
      <c r="IP27" s="325"/>
    </row>
    <row r="28" spans="1:251" s="326" customFormat="1" ht="11.25">
      <c r="A28" s="318" t="s">
        <v>150</v>
      </c>
      <c r="B28" s="319" t="s">
        <v>151</v>
      </c>
      <c r="C28" s="320">
        <v>31639516025</v>
      </c>
      <c r="D28" s="320">
        <v>10889005170</v>
      </c>
      <c r="E28" s="321">
        <v>19022496861</v>
      </c>
      <c r="F28" s="321">
        <v>20885382630</v>
      </c>
      <c r="G28" s="322">
        <v>14132312373</v>
      </c>
      <c r="H28" s="323">
        <v>30470227000</v>
      </c>
      <c r="I28" s="323">
        <f>+'[1]Pro-Blj'!H10</f>
        <v>30470227000</v>
      </c>
      <c r="J28" s="323">
        <f>+'[1]Pro-Blj'!I10</f>
        <v>24342680000</v>
      </c>
      <c r="K28" s="323"/>
      <c r="L28" s="323">
        <f>+J28+8000000000+2000000000</f>
        <v>34342680000</v>
      </c>
      <c r="M28" s="323"/>
      <c r="N28" s="323">
        <f>+L28</f>
        <v>34342680000</v>
      </c>
      <c r="O28" s="323"/>
      <c r="P28" s="323">
        <f>+N28+2000000000</f>
        <v>36342680000</v>
      </c>
      <c r="Q28" s="323"/>
      <c r="R28" s="323">
        <f>+P28+2000000000</f>
        <v>38342680000</v>
      </c>
      <c r="S28" s="324">
        <f>R28</f>
        <v>38342680000</v>
      </c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5"/>
      <c r="FU28" s="325"/>
      <c r="FV28" s="325"/>
      <c r="FW28" s="325"/>
      <c r="FX28" s="325"/>
      <c r="FY28" s="325"/>
      <c r="FZ28" s="325"/>
      <c r="GA28" s="325"/>
      <c r="GB28" s="325"/>
      <c r="GC28" s="325"/>
      <c r="GD28" s="325"/>
      <c r="GE28" s="325"/>
      <c r="GF28" s="325"/>
      <c r="GG28" s="325"/>
      <c r="GH28" s="325"/>
      <c r="GI28" s="325"/>
      <c r="GJ28" s="325"/>
      <c r="GK28" s="325"/>
      <c r="GL28" s="325"/>
      <c r="GM28" s="325"/>
      <c r="GN28" s="325"/>
      <c r="GO28" s="325"/>
      <c r="GP28" s="325"/>
      <c r="GQ28" s="325"/>
      <c r="GR28" s="325"/>
      <c r="GS28" s="325"/>
      <c r="GT28" s="325"/>
      <c r="GU28" s="325"/>
      <c r="GV28" s="325"/>
      <c r="GW28" s="325"/>
      <c r="GX28" s="325"/>
      <c r="GY28" s="325"/>
      <c r="GZ28" s="325"/>
      <c r="HA28" s="325"/>
      <c r="HB28" s="325"/>
      <c r="HC28" s="325"/>
      <c r="HD28" s="325"/>
      <c r="HE28" s="325"/>
      <c r="HF28" s="325"/>
      <c r="HG28" s="325"/>
      <c r="HH28" s="325"/>
      <c r="HI28" s="325"/>
      <c r="HJ28" s="325"/>
      <c r="HK28" s="325"/>
      <c r="HL28" s="325"/>
      <c r="HM28" s="325"/>
      <c r="HN28" s="325"/>
      <c r="HO28" s="325"/>
      <c r="HP28" s="325"/>
      <c r="HQ28" s="325"/>
      <c r="HR28" s="325"/>
      <c r="HS28" s="325"/>
      <c r="HT28" s="325"/>
      <c r="HU28" s="325"/>
      <c r="HV28" s="325"/>
      <c r="HW28" s="325"/>
      <c r="HX28" s="325"/>
      <c r="HY28" s="325"/>
      <c r="HZ28" s="325"/>
      <c r="IA28" s="325"/>
      <c r="IB28" s="325"/>
      <c r="IC28" s="325"/>
      <c r="ID28" s="325"/>
      <c r="IE28" s="325"/>
      <c r="IF28" s="325"/>
      <c r="IG28" s="325"/>
      <c r="IH28" s="325"/>
      <c r="II28" s="325"/>
      <c r="IJ28" s="325"/>
      <c r="IK28" s="325"/>
      <c r="IL28" s="325"/>
      <c r="IM28" s="325"/>
      <c r="IN28" s="325"/>
      <c r="IO28" s="325"/>
      <c r="IP28" s="325"/>
    </row>
    <row r="29" spans="1:251" s="295" customFormat="1" ht="21">
      <c r="A29" s="28" t="s">
        <v>152</v>
      </c>
      <c r="B29" s="29" t="s">
        <v>153</v>
      </c>
      <c r="C29" s="30">
        <v>48562970</v>
      </c>
      <c r="D29" s="30">
        <v>47964785</v>
      </c>
      <c r="E29" s="31">
        <v>53705198</v>
      </c>
      <c r="F29" s="31">
        <v>4298707350</v>
      </c>
      <c r="G29" s="306">
        <v>4899805654</v>
      </c>
      <c r="H29" s="305">
        <v>4329000000</v>
      </c>
      <c r="I29" s="305">
        <f>+'[1]Pro-Blj'!H11</f>
        <v>4329000000</v>
      </c>
      <c r="J29" s="305">
        <f>+'[1]Pro-Blj'!I11</f>
        <v>4504000000</v>
      </c>
      <c r="K29" s="305"/>
      <c r="L29" s="305">
        <v>4700000000</v>
      </c>
      <c r="M29" s="305"/>
      <c r="N29" s="305">
        <v>4900000000</v>
      </c>
      <c r="O29" s="305"/>
      <c r="P29" s="305">
        <v>5100000000</v>
      </c>
      <c r="Q29" s="305"/>
      <c r="R29" s="305">
        <v>5300000000</v>
      </c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299"/>
      <c r="FT29" s="299"/>
      <c r="FU29" s="299"/>
      <c r="FV29" s="299"/>
      <c r="FW29" s="299"/>
      <c r="FX29" s="299"/>
      <c r="FY29" s="299"/>
      <c r="FZ29" s="299"/>
      <c r="GA29" s="299"/>
      <c r="GB29" s="299"/>
      <c r="GC29" s="299"/>
      <c r="GD29" s="299"/>
      <c r="GE29" s="299"/>
      <c r="GF29" s="299"/>
      <c r="GG29" s="299"/>
      <c r="GH29" s="299"/>
      <c r="GI29" s="299"/>
      <c r="GJ29" s="299"/>
      <c r="GK29" s="299"/>
      <c r="GL29" s="299"/>
      <c r="GM29" s="299"/>
      <c r="GN29" s="299"/>
      <c r="GO29" s="299"/>
      <c r="GP29" s="299"/>
      <c r="GQ29" s="299"/>
      <c r="GR29" s="299"/>
      <c r="GS29" s="299"/>
      <c r="GT29" s="299"/>
      <c r="GU29" s="299"/>
      <c r="GV29" s="299"/>
      <c r="GW29" s="299"/>
      <c r="GX29" s="299"/>
      <c r="GY29" s="299"/>
      <c r="GZ29" s="299"/>
      <c r="HA29" s="299"/>
      <c r="HB29" s="299"/>
      <c r="HC29" s="299"/>
      <c r="HD29" s="299"/>
      <c r="HE29" s="299"/>
      <c r="HF29" s="299"/>
      <c r="HG29" s="299"/>
      <c r="HH29" s="299"/>
      <c r="HI29" s="299"/>
      <c r="HJ29" s="299"/>
      <c r="HK29" s="299"/>
      <c r="HL29" s="299"/>
      <c r="HM29" s="299"/>
      <c r="HN29" s="299"/>
      <c r="HO29" s="299"/>
      <c r="HP29" s="299"/>
      <c r="HQ29" s="299"/>
      <c r="HR29" s="299"/>
      <c r="HS29" s="299"/>
      <c r="HT29" s="299"/>
      <c r="HU29" s="299"/>
      <c r="HV29" s="299"/>
      <c r="HW29" s="299"/>
      <c r="HX29" s="299"/>
      <c r="HY29" s="299"/>
      <c r="HZ29" s="299"/>
      <c r="IA29" s="299"/>
      <c r="IB29" s="299"/>
      <c r="IC29" s="299"/>
      <c r="ID29" s="299"/>
      <c r="IE29" s="299"/>
      <c r="IF29" s="299"/>
      <c r="IG29" s="299"/>
      <c r="IH29" s="299"/>
      <c r="II29" s="299"/>
      <c r="IJ29" s="299"/>
      <c r="IK29" s="299"/>
      <c r="IL29" s="299"/>
      <c r="IM29" s="299"/>
      <c r="IN29" s="299"/>
      <c r="IO29" s="299"/>
      <c r="IP29" s="299"/>
    </row>
    <row r="30" spans="1:251" s="326" customFormat="1" ht="21">
      <c r="A30" s="318" t="s">
        <v>154</v>
      </c>
      <c r="B30" s="319" t="s">
        <v>155</v>
      </c>
      <c r="C30" s="320">
        <v>51004053999</v>
      </c>
      <c r="D30" s="320">
        <v>45425697933</v>
      </c>
      <c r="E30" s="321">
        <v>43821596815</v>
      </c>
      <c r="F30" s="321">
        <v>39285513100</v>
      </c>
      <c r="G30" s="322">
        <v>38744388450</v>
      </c>
      <c r="H30" s="323">
        <v>47952896500</v>
      </c>
      <c r="I30" s="323">
        <f>+'[1]Pro-Blj'!H12</f>
        <v>47952896500</v>
      </c>
      <c r="J30" s="323">
        <f>+'[1]Pro-Blj'!I12</f>
        <v>41605119000</v>
      </c>
      <c r="K30" s="323"/>
      <c r="L30" s="323">
        <f>+J30</f>
        <v>41605119000</v>
      </c>
      <c r="M30" s="323"/>
      <c r="N30" s="323">
        <f>+L30</f>
        <v>41605119000</v>
      </c>
      <c r="O30" s="323"/>
      <c r="P30" s="323">
        <f>+N30</f>
        <v>41605119000</v>
      </c>
      <c r="Q30" s="323"/>
      <c r="R30" s="323">
        <f>+P30</f>
        <v>41605119000</v>
      </c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5"/>
      <c r="FL30" s="325"/>
      <c r="FM30" s="325"/>
      <c r="FN30" s="325"/>
      <c r="FO30" s="325"/>
      <c r="FP30" s="325"/>
      <c r="FQ30" s="325"/>
      <c r="FR30" s="325"/>
      <c r="FS30" s="325"/>
      <c r="FT30" s="325"/>
      <c r="FU30" s="325"/>
      <c r="FV30" s="325"/>
      <c r="FW30" s="325"/>
      <c r="FX30" s="325"/>
      <c r="FY30" s="325"/>
      <c r="FZ30" s="325"/>
      <c r="GA30" s="325"/>
      <c r="GB30" s="325"/>
      <c r="GC30" s="325"/>
      <c r="GD30" s="325"/>
      <c r="GE30" s="325"/>
      <c r="GF30" s="325"/>
      <c r="GG30" s="325"/>
      <c r="GH30" s="325"/>
      <c r="GI30" s="325"/>
      <c r="GJ30" s="325"/>
      <c r="GK30" s="325"/>
      <c r="GL30" s="325"/>
      <c r="GM30" s="325"/>
      <c r="GN30" s="325"/>
      <c r="GO30" s="325"/>
      <c r="GP30" s="325"/>
      <c r="GQ30" s="325"/>
      <c r="GR30" s="325"/>
      <c r="GS30" s="325"/>
      <c r="GT30" s="325"/>
      <c r="GU30" s="325"/>
      <c r="GV30" s="325"/>
      <c r="GW30" s="325"/>
      <c r="GX30" s="325"/>
      <c r="GY30" s="325"/>
      <c r="GZ30" s="325"/>
      <c r="HA30" s="325"/>
      <c r="HB30" s="325"/>
      <c r="HC30" s="325"/>
      <c r="HD30" s="325"/>
      <c r="HE30" s="325"/>
      <c r="HF30" s="325"/>
      <c r="HG30" s="325"/>
      <c r="HH30" s="325"/>
      <c r="HI30" s="325"/>
      <c r="HJ30" s="325"/>
      <c r="HK30" s="325"/>
      <c r="HL30" s="325"/>
      <c r="HM30" s="325"/>
      <c r="HN30" s="325"/>
      <c r="HO30" s="325"/>
      <c r="HP30" s="325"/>
      <c r="HQ30" s="325"/>
      <c r="HR30" s="325"/>
      <c r="HS30" s="325"/>
      <c r="HT30" s="325"/>
      <c r="HU30" s="325"/>
      <c r="HV30" s="325"/>
      <c r="HW30" s="325"/>
      <c r="HX30" s="325"/>
      <c r="HY30" s="325"/>
      <c r="HZ30" s="325"/>
      <c r="IA30" s="325"/>
      <c r="IB30" s="325"/>
      <c r="IC30" s="325"/>
      <c r="ID30" s="325"/>
      <c r="IE30" s="325"/>
      <c r="IF30" s="325"/>
      <c r="IG30" s="325"/>
      <c r="IH30" s="325"/>
      <c r="II30" s="325"/>
      <c r="IJ30" s="325"/>
      <c r="IK30" s="325"/>
      <c r="IL30" s="325"/>
      <c r="IM30" s="325"/>
      <c r="IN30" s="325"/>
      <c r="IO30" s="325"/>
      <c r="IP30" s="325"/>
    </row>
    <row r="31" spans="1:251" s="295" customFormat="1" ht="11.25">
      <c r="A31" s="33" t="s">
        <v>156</v>
      </c>
      <c r="B31" s="34" t="s">
        <v>157</v>
      </c>
      <c r="C31" s="35">
        <v>126091500</v>
      </c>
      <c r="D31" s="35">
        <v>920466415</v>
      </c>
      <c r="E31" s="36">
        <v>1401856260</v>
      </c>
      <c r="F31" s="36">
        <v>993850000</v>
      </c>
      <c r="G31" s="307">
        <v>281774720</v>
      </c>
      <c r="H31" s="305">
        <v>750000000</v>
      </c>
      <c r="I31" s="305">
        <f>+'[1]Pro-Blj'!H13</f>
        <v>750000000</v>
      </c>
      <c r="J31" s="305">
        <f>+'[1]Pro-Blj'!I13</f>
        <v>500000000</v>
      </c>
      <c r="K31" s="305"/>
      <c r="L31" s="305">
        <v>750000000</v>
      </c>
      <c r="M31" s="305"/>
      <c r="N31" s="305">
        <v>750000000</v>
      </c>
      <c r="O31" s="305"/>
      <c r="P31" s="305">
        <v>1000000000</v>
      </c>
      <c r="Q31" s="305"/>
      <c r="R31" s="305">
        <v>1000000000</v>
      </c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299"/>
      <c r="HI31" s="299"/>
      <c r="HJ31" s="299"/>
      <c r="HK31" s="299"/>
      <c r="HL31" s="299"/>
      <c r="HM31" s="299"/>
      <c r="HN31" s="299"/>
      <c r="HO31" s="299"/>
      <c r="HP31" s="299"/>
      <c r="HQ31" s="299"/>
      <c r="HR31" s="299"/>
      <c r="HS31" s="299"/>
      <c r="HT31" s="299"/>
      <c r="HU31" s="299"/>
      <c r="HV31" s="299"/>
      <c r="HW31" s="299"/>
      <c r="HX31" s="299"/>
      <c r="HY31" s="299"/>
      <c r="HZ31" s="299"/>
      <c r="IA31" s="299"/>
      <c r="IB31" s="299"/>
      <c r="IC31" s="299"/>
      <c r="ID31" s="299"/>
      <c r="IE31" s="299"/>
      <c r="IF31" s="299"/>
      <c r="IG31" s="299"/>
      <c r="IH31" s="299"/>
      <c r="II31" s="299"/>
      <c r="IJ31" s="299"/>
      <c r="IK31" s="299"/>
      <c r="IL31" s="299"/>
      <c r="IM31" s="299"/>
      <c r="IN31" s="299"/>
      <c r="IO31" s="299"/>
      <c r="IP31" s="299"/>
    </row>
    <row r="32" spans="1:251" s="295" customFormat="1" ht="11.25">
      <c r="A32" s="19" t="s">
        <v>158</v>
      </c>
      <c r="B32" s="20" t="s">
        <v>1</v>
      </c>
      <c r="C32" s="21">
        <f t="shared" ref="C32:I32" si="13">SUM(C34:C36)</f>
        <v>200893706917</v>
      </c>
      <c r="D32" s="21">
        <f t="shared" si="13"/>
        <v>173063883580</v>
      </c>
      <c r="E32" s="38">
        <f t="shared" si="13"/>
        <v>138235011200</v>
      </c>
      <c r="F32" s="21">
        <f t="shared" si="13"/>
        <v>215501818714</v>
      </c>
      <c r="G32" s="21">
        <f t="shared" si="13"/>
        <v>316346769358</v>
      </c>
      <c r="H32" s="38">
        <f t="shared" si="13"/>
        <v>430018192358</v>
      </c>
      <c r="I32" s="38">
        <f t="shared" si="13"/>
        <v>430018192358</v>
      </c>
      <c r="J32" s="38">
        <f>SUM(J34:J36)+39693921000</f>
        <v>471362007854</v>
      </c>
      <c r="K32" s="38"/>
      <c r="L32" s="38">
        <f>SUM(L34:L36)</f>
        <v>428134238000</v>
      </c>
      <c r="M32" s="38"/>
      <c r="N32" s="38">
        <f>SUM(N34:N36)</f>
        <v>429074036000</v>
      </c>
      <c r="O32" s="38"/>
      <c r="P32" s="38">
        <f>SUM(P34:P36)</f>
        <v>445434697000</v>
      </c>
      <c r="Q32" s="38"/>
      <c r="R32" s="38">
        <f>SUM(R34:R36)</f>
        <v>477503756000</v>
      </c>
      <c r="S32" s="327"/>
      <c r="T32" s="328"/>
      <c r="U32" s="329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294"/>
      <c r="IH32" s="294"/>
      <c r="II32" s="294"/>
      <c r="IJ32" s="294"/>
      <c r="IK32" s="294"/>
      <c r="IL32" s="294"/>
      <c r="IM32" s="294"/>
      <c r="IN32" s="294"/>
      <c r="IO32" s="294"/>
      <c r="IP32" s="294"/>
    </row>
    <row r="33" spans="1:250" s="295" customFormat="1" ht="11.25">
      <c r="A33" s="330"/>
      <c r="B33" s="331"/>
      <c r="C33" s="332"/>
      <c r="D33" s="333"/>
      <c r="E33" s="334"/>
      <c r="F33" s="333"/>
      <c r="G33" s="332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29"/>
      <c r="T33" s="328"/>
      <c r="U33" s="329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294"/>
      <c r="IH33" s="294"/>
      <c r="II33" s="294"/>
      <c r="IJ33" s="294"/>
      <c r="IK33" s="294"/>
      <c r="IL33" s="294"/>
      <c r="IM33" s="294"/>
      <c r="IN33" s="294"/>
      <c r="IO33" s="294"/>
      <c r="IP33" s="294"/>
    </row>
    <row r="34" spans="1:250" s="295" customFormat="1" ht="11.25">
      <c r="A34" s="23" t="s">
        <v>159</v>
      </c>
      <c r="B34" s="24" t="s">
        <v>5</v>
      </c>
      <c r="C34" s="25">
        <v>21599073361</v>
      </c>
      <c r="D34" s="302">
        <v>19694364002</v>
      </c>
      <c r="E34" s="303">
        <v>21182523181</v>
      </c>
      <c r="F34" s="303">
        <v>30724881425</v>
      </c>
      <c r="G34" s="304">
        <v>32489153703</v>
      </c>
      <c r="H34" s="305">
        <v>39541189025</v>
      </c>
      <c r="I34" s="305">
        <f>+'[1]Pro-Blj'!H15</f>
        <v>39541189025</v>
      </c>
      <c r="J34" s="305">
        <v>40077982205</v>
      </c>
      <c r="K34" s="305"/>
      <c r="L34" s="305">
        <v>30000000000</v>
      </c>
      <c r="M34" s="305"/>
      <c r="N34" s="305">
        <f>+L34</f>
        <v>30000000000</v>
      </c>
      <c r="O34" s="305"/>
      <c r="P34" s="317">
        <f>+N34</f>
        <v>30000000000</v>
      </c>
      <c r="Q34" s="317"/>
      <c r="R34" s="317">
        <f>+P34</f>
        <v>30000000000</v>
      </c>
      <c r="S34" s="336">
        <f>R34/R$32*100</f>
        <v>6.2826730937798114</v>
      </c>
      <c r="T34" s="328"/>
      <c r="U34" s="336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  <c r="IM34" s="299"/>
      <c r="IN34" s="299"/>
      <c r="IO34" s="299"/>
      <c r="IP34" s="299"/>
    </row>
    <row r="35" spans="1:250" s="295" customFormat="1" ht="11.25">
      <c r="A35" s="28" t="s">
        <v>160</v>
      </c>
      <c r="B35" s="29" t="s">
        <v>161</v>
      </c>
      <c r="C35" s="30">
        <v>60156883340</v>
      </c>
      <c r="D35" s="30">
        <v>58263468211</v>
      </c>
      <c r="E35" s="31">
        <v>72218629606</v>
      </c>
      <c r="F35" s="31">
        <v>91742510291</v>
      </c>
      <c r="G35" s="306">
        <v>121777498747</v>
      </c>
      <c r="H35" s="305">
        <v>162157140735</v>
      </c>
      <c r="I35" s="305">
        <f>+'[1]Pro-Blj'!H16</f>
        <v>162157140735</v>
      </c>
      <c r="J35" s="305">
        <v>163896077099</v>
      </c>
      <c r="K35" s="305"/>
      <c r="L35" s="305">
        <f>165000000000-365762000</f>
        <v>164634238000</v>
      </c>
      <c r="M35" s="305"/>
      <c r="N35" s="305">
        <v>165000000000</v>
      </c>
      <c r="O35" s="305"/>
      <c r="P35" s="305">
        <v>167000000000</v>
      </c>
      <c r="Q35" s="305"/>
      <c r="R35" s="305">
        <v>170000000000</v>
      </c>
      <c r="S35" s="336">
        <f t="shared" ref="S35:S36" si="14">R35/R$32*100</f>
        <v>35.601814198085599</v>
      </c>
      <c r="T35" s="328"/>
      <c r="U35" s="336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  <c r="IG35" s="299"/>
      <c r="IH35" s="299"/>
      <c r="II35" s="299"/>
      <c r="IJ35" s="299"/>
      <c r="IK35" s="299"/>
      <c r="IL35" s="299"/>
      <c r="IM35" s="299"/>
      <c r="IN35" s="299"/>
      <c r="IO35" s="299"/>
      <c r="IP35" s="299"/>
    </row>
    <row r="36" spans="1:250" s="295" customFormat="1" ht="11.25">
      <c r="A36" s="33" t="s">
        <v>162</v>
      </c>
      <c r="B36" s="34" t="s">
        <v>163</v>
      </c>
      <c r="C36" s="35">
        <v>119137750216</v>
      </c>
      <c r="D36" s="35">
        <v>95106051367</v>
      </c>
      <c r="E36" s="36">
        <v>44833858413</v>
      </c>
      <c r="F36" s="36">
        <v>93034426998</v>
      </c>
      <c r="G36" s="307">
        <v>162080116908</v>
      </c>
      <c r="H36" s="305">
        <v>228319862598</v>
      </c>
      <c r="I36" s="305">
        <f>+'[1]Pro-Blj'!H17</f>
        <v>228319862598</v>
      </c>
      <c r="J36" s="305">
        <f>+'[1]Pro-Blj'!I17</f>
        <v>227694027550</v>
      </c>
      <c r="K36" s="305"/>
      <c r="L36" s="305">
        <f>275000000000-13500000000-28000000000</f>
        <v>233500000000</v>
      </c>
      <c r="M36" s="305"/>
      <c r="N36" s="305">
        <f>250000000000-15925964000</f>
        <v>234074036000</v>
      </c>
      <c r="O36" s="305"/>
      <c r="P36" s="305">
        <f>270000000000-21565303000</f>
        <v>248434697000</v>
      </c>
      <c r="Q36" s="305"/>
      <c r="R36" s="305">
        <f>290000000000-12496244000</f>
        <v>277503756000</v>
      </c>
      <c r="S36" s="336">
        <f t="shared" si="14"/>
        <v>58.115512708134595</v>
      </c>
      <c r="T36" s="328"/>
      <c r="U36" s="336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  <c r="IG36" s="299"/>
      <c r="IH36" s="299"/>
      <c r="II36" s="299"/>
      <c r="IJ36" s="299"/>
      <c r="IK36" s="299"/>
      <c r="IL36" s="299"/>
      <c r="IM36" s="299"/>
      <c r="IN36" s="299"/>
      <c r="IO36" s="299"/>
      <c r="IP36" s="299"/>
    </row>
    <row r="37" spans="1:250" s="295" customFormat="1" ht="11.25">
      <c r="A37" s="308"/>
      <c r="B37" s="309"/>
      <c r="C37" s="298"/>
      <c r="D37" s="298"/>
      <c r="E37" s="299"/>
      <c r="F37" s="299"/>
      <c r="G37" s="299"/>
      <c r="H37" s="299"/>
      <c r="I37" s="299"/>
      <c r="J37" s="337" t="s">
        <v>8</v>
      </c>
      <c r="K37" s="337"/>
      <c r="L37" s="305" t="s">
        <v>8</v>
      </c>
      <c r="M37" s="305"/>
      <c r="N37" s="299"/>
      <c r="O37" s="299"/>
      <c r="P37" s="299"/>
      <c r="Q37" s="299"/>
      <c r="R37" s="299" t="s">
        <v>8</v>
      </c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299"/>
      <c r="GM37" s="299"/>
      <c r="GN37" s="299"/>
      <c r="GO37" s="299"/>
      <c r="GP37" s="299"/>
      <c r="GQ37" s="299"/>
      <c r="GR37" s="299"/>
      <c r="GS37" s="299"/>
      <c r="GT37" s="299"/>
      <c r="GU37" s="299"/>
      <c r="GV37" s="299"/>
      <c r="GW37" s="299"/>
      <c r="GX37" s="299"/>
      <c r="GY37" s="299"/>
      <c r="GZ37" s="299"/>
      <c r="HA37" s="299"/>
      <c r="HB37" s="299"/>
      <c r="HC37" s="299"/>
      <c r="HD37" s="299"/>
      <c r="HE37" s="299"/>
      <c r="HF37" s="299"/>
      <c r="HG37" s="299"/>
      <c r="HH37" s="299"/>
      <c r="HI37" s="299"/>
      <c r="HJ37" s="299"/>
      <c r="HK37" s="299"/>
      <c r="HL37" s="299"/>
      <c r="HM37" s="299"/>
      <c r="HN37" s="299"/>
      <c r="HO37" s="299"/>
      <c r="HP37" s="299"/>
      <c r="HQ37" s="299"/>
      <c r="HR37" s="299"/>
      <c r="HS37" s="299"/>
      <c r="HT37" s="299"/>
      <c r="HU37" s="299"/>
      <c r="HV37" s="299"/>
      <c r="HW37" s="299"/>
      <c r="HX37" s="299"/>
      <c r="HY37" s="299"/>
      <c r="HZ37" s="299"/>
      <c r="IA37" s="299"/>
      <c r="IB37" s="299"/>
      <c r="IC37" s="299"/>
      <c r="ID37" s="299"/>
      <c r="IE37" s="299"/>
      <c r="IF37" s="299"/>
      <c r="IG37" s="299"/>
      <c r="IH37" s="299"/>
      <c r="II37" s="299"/>
      <c r="IJ37" s="299"/>
      <c r="IK37" s="299"/>
      <c r="IL37" s="299"/>
      <c r="IM37" s="299"/>
      <c r="IN37" s="299"/>
      <c r="IO37" s="299"/>
      <c r="IP37" s="299"/>
    </row>
    <row r="38" spans="1:250" s="295" customFormat="1" ht="11.25">
      <c r="A38" s="308"/>
      <c r="B38" s="309" t="s">
        <v>449</v>
      </c>
      <c r="C38" s="298">
        <f>+C5-C23</f>
        <v>-34742753943</v>
      </c>
      <c r="D38" s="298">
        <f t="shared" ref="D38:I38" si="15">+D5-D23</f>
        <v>16156252232</v>
      </c>
      <c r="E38" s="298">
        <f t="shared" si="15"/>
        <v>13455855529</v>
      </c>
      <c r="F38" s="298">
        <f t="shared" si="15"/>
        <v>7319341079</v>
      </c>
      <c r="G38" s="298">
        <f t="shared" si="15"/>
        <v>10491413695</v>
      </c>
      <c r="H38" s="298">
        <f t="shared" si="15"/>
        <v>-1175501480149.0601</v>
      </c>
      <c r="I38" s="298">
        <f t="shared" si="15"/>
        <v>-136329042163</v>
      </c>
      <c r="J38" s="298">
        <f>+J5-J23</f>
        <v>-99022418350</v>
      </c>
      <c r="K38" s="298"/>
      <c r="L38" s="298">
        <f>+L5-L23+1</f>
        <v>-17499999999.7854</v>
      </c>
      <c r="M38" s="298"/>
      <c r="N38" s="298">
        <f t="shared" ref="N38:R38" si="16">+N5-N23</f>
        <v>9500000000.4731445</v>
      </c>
      <c r="O38" s="298"/>
      <c r="P38" s="298">
        <f t="shared" si="16"/>
        <v>9499999999.7202148</v>
      </c>
      <c r="Q38" s="298"/>
      <c r="R38" s="298">
        <f t="shared" si="16"/>
        <v>-13999999999.845215</v>
      </c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299"/>
      <c r="GM38" s="299"/>
      <c r="GN38" s="299"/>
      <c r="GO38" s="299"/>
      <c r="GP38" s="299"/>
      <c r="GQ38" s="299"/>
      <c r="GR38" s="299"/>
      <c r="GS38" s="299"/>
      <c r="GT38" s="299"/>
      <c r="GU38" s="299"/>
      <c r="GV38" s="299"/>
      <c r="GW38" s="299"/>
      <c r="GX38" s="299"/>
      <c r="GY38" s="299"/>
      <c r="GZ38" s="299"/>
      <c r="HA38" s="299"/>
      <c r="HB38" s="299"/>
      <c r="HC38" s="299"/>
      <c r="HD38" s="299"/>
      <c r="HE38" s="299"/>
      <c r="HF38" s="299"/>
      <c r="HG38" s="299"/>
      <c r="HH38" s="299"/>
      <c r="HI38" s="299"/>
      <c r="HJ38" s="299"/>
      <c r="HK38" s="299"/>
      <c r="HL38" s="299"/>
      <c r="HM38" s="299"/>
      <c r="HN38" s="299"/>
      <c r="HO38" s="299"/>
      <c r="HP38" s="299"/>
      <c r="HQ38" s="299"/>
      <c r="HR38" s="299"/>
      <c r="HS38" s="299"/>
      <c r="HT38" s="299"/>
      <c r="HU38" s="299"/>
      <c r="HV38" s="299"/>
      <c r="HW38" s="299"/>
      <c r="HX38" s="299"/>
      <c r="HY38" s="299"/>
      <c r="HZ38" s="299"/>
      <c r="IA38" s="299"/>
      <c r="IB38" s="299"/>
      <c r="IC38" s="299"/>
      <c r="ID38" s="299"/>
      <c r="IE38" s="299"/>
      <c r="IF38" s="299"/>
      <c r="IG38" s="299"/>
      <c r="IH38" s="299"/>
      <c r="II38" s="299"/>
      <c r="IJ38" s="299"/>
      <c r="IK38" s="299"/>
      <c r="IL38" s="299"/>
      <c r="IM38" s="299"/>
      <c r="IN38" s="299"/>
      <c r="IO38" s="299"/>
      <c r="IP38" s="299"/>
    </row>
    <row r="39" spans="1:250" s="295" customFormat="1" ht="11.25">
      <c r="A39" s="308"/>
      <c r="B39" s="309"/>
      <c r="C39" s="298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  <c r="IM39" s="299"/>
      <c r="IN39" s="299"/>
      <c r="IO39" s="299"/>
      <c r="IP39" s="299"/>
    </row>
    <row r="40" spans="1:250" s="295" customFormat="1" ht="11.25">
      <c r="A40" s="300" t="s">
        <v>106</v>
      </c>
      <c r="B40" s="18" t="s">
        <v>142</v>
      </c>
      <c r="C40" s="301">
        <v>2008</v>
      </c>
      <c r="D40" s="301">
        <v>2009</v>
      </c>
      <c r="E40" s="300">
        <v>2010</v>
      </c>
      <c r="F40" s="300">
        <v>2011</v>
      </c>
      <c r="G40" s="301">
        <v>2012</v>
      </c>
      <c r="H40" s="299">
        <v>2013</v>
      </c>
      <c r="I40" s="299">
        <v>2013</v>
      </c>
      <c r="J40" s="299">
        <v>2014</v>
      </c>
      <c r="K40" s="299"/>
      <c r="L40" s="299">
        <v>2015</v>
      </c>
      <c r="M40" s="299"/>
      <c r="N40" s="299">
        <v>2016</v>
      </c>
      <c r="O40" s="299"/>
      <c r="P40" s="299">
        <v>2017</v>
      </c>
      <c r="Q40" s="299"/>
      <c r="R40" s="299">
        <v>2018</v>
      </c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  <c r="IG40" s="299"/>
      <c r="IH40" s="299"/>
      <c r="II40" s="299"/>
      <c r="IJ40" s="299"/>
      <c r="IK40" s="299"/>
      <c r="IL40" s="299"/>
      <c r="IM40" s="299"/>
      <c r="IN40" s="299"/>
      <c r="IO40" s="299"/>
      <c r="IP40" s="299"/>
    </row>
    <row r="41" spans="1:250" s="341" customFormat="1" ht="31.5" customHeight="1">
      <c r="A41" s="338" t="s">
        <v>450</v>
      </c>
      <c r="B41" s="339" t="s">
        <v>451</v>
      </c>
      <c r="C41" s="340">
        <f>C42-C49</f>
        <v>64966037951</v>
      </c>
      <c r="D41" s="340">
        <f t="shared" ref="D41:R41" si="17">D42-D49</f>
        <v>23623601419</v>
      </c>
      <c r="E41" s="340">
        <f t="shared" si="17"/>
        <v>32765542921</v>
      </c>
      <c r="F41" s="340">
        <f t="shared" si="17"/>
        <v>36837479870</v>
      </c>
      <c r="G41" s="340">
        <f t="shared" si="17"/>
        <v>31285133560</v>
      </c>
      <c r="H41" s="340">
        <f t="shared" si="17"/>
        <v>0</v>
      </c>
      <c r="I41" s="340">
        <f t="shared" si="17"/>
        <v>136329042163</v>
      </c>
      <c r="J41" s="340">
        <f t="shared" si="17"/>
        <v>99022418350</v>
      </c>
      <c r="K41" s="340"/>
      <c r="L41" s="340">
        <f t="shared" si="17"/>
        <v>17500000000</v>
      </c>
      <c r="M41" s="340"/>
      <c r="N41" s="340">
        <f t="shared" si="17"/>
        <v>-9500000000</v>
      </c>
      <c r="O41" s="340"/>
      <c r="P41" s="340">
        <f t="shared" si="17"/>
        <v>-9500000000</v>
      </c>
      <c r="Q41" s="340"/>
      <c r="R41" s="340">
        <f t="shared" si="17"/>
        <v>14000000000</v>
      </c>
    </row>
    <row r="42" spans="1:250" s="341" customFormat="1" ht="26.25" customHeight="1">
      <c r="A42" s="342" t="s">
        <v>452</v>
      </c>
      <c r="B42" s="343" t="s">
        <v>453</v>
      </c>
      <c r="C42" s="344">
        <f>SUM(C43:C47)</f>
        <v>70661542087</v>
      </c>
      <c r="D42" s="344">
        <f t="shared" ref="D42:R42" si="18">SUM(D43:D47)</f>
        <v>32862368468</v>
      </c>
      <c r="E42" s="344">
        <f t="shared" si="18"/>
        <v>40192735521</v>
      </c>
      <c r="F42" s="344">
        <f t="shared" si="18"/>
        <v>46485138890</v>
      </c>
      <c r="G42" s="344">
        <f t="shared" si="18"/>
        <v>46248247504</v>
      </c>
      <c r="H42" s="344">
        <f t="shared" si="18"/>
        <v>0</v>
      </c>
      <c r="I42" s="344">
        <f t="shared" si="18"/>
        <v>145787728270</v>
      </c>
      <c r="J42" s="344">
        <f t="shared" si="18"/>
        <v>107522418350</v>
      </c>
      <c r="K42" s="344"/>
      <c r="L42" s="344">
        <f t="shared" si="18"/>
        <v>44500000000</v>
      </c>
      <c r="M42" s="344"/>
      <c r="N42" s="344">
        <f t="shared" si="18"/>
        <v>31000000000</v>
      </c>
      <c r="O42" s="344"/>
      <c r="P42" s="344">
        <f t="shared" si="18"/>
        <v>31000000000</v>
      </c>
      <c r="Q42" s="344"/>
      <c r="R42" s="344">
        <f t="shared" si="18"/>
        <v>47000000000</v>
      </c>
    </row>
    <row r="43" spans="1:250" s="349" customFormat="1" ht="24">
      <c r="A43" s="345" t="s">
        <v>454</v>
      </c>
      <c r="B43" s="346" t="s">
        <v>455</v>
      </c>
      <c r="C43" s="347">
        <v>56880649463</v>
      </c>
      <c r="D43" s="348">
        <v>30233284008</v>
      </c>
      <c r="E43" s="348">
        <v>39779853641</v>
      </c>
      <c r="F43" s="348">
        <f>+E56</f>
        <v>46221398450</v>
      </c>
      <c r="G43" s="348">
        <f>+F56</f>
        <v>44156820949</v>
      </c>
      <c r="H43" s="348"/>
      <c r="I43" s="348">
        <f>+G56</f>
        <v>41776547255</v>
      </c>
      <c r="J43" s="348">
        <f>15022418350+12000000000</f>
        <v>27022418350</v>
      </c>
      <c r="K43" s="348"/>
      <c r="L43" s="348">
        <v>27000000000</v>
      </c>
      <c r="M43" s="348"/>
      <c r="N43" s="348">
        <v>27000000000</v>
      </c>
      <c r="O43" s="348"/>
      <c r="P43" s="348">
        <v>27000000000</v>
      </c>
      <c r="Q43" s="348"/>
      <c r="R43" s="348">
        <v>27000000000</v>
      </c>
    </row>
    <row r="44" spans="1:250" s="349" customFormat="1" ht="13.5" customHeight="1">
      <c r="A44" s="350" t="s">
        <v>456</v>
      </c>
      <c r="B44" s="351" t="s">
        <v>457</v>
      </c>
      <c r="C44" s="352">
        <v>10426478900</v>
      </c>
      <c r="D44" s="348"/>
      <c r="E44" s="348"/>
      <c r="F44" s="348"/>
      <c r="G44" s="348"/>
      <c r="H44" s="348"/>
      <c r="I44" s="348">
        <v>12960094515</v>
      </c>
      <c r="J44" s="348">
        <v>0</v>
      </c>
      <c r="K44" s="348"/>
      <c r="L44" s="348"/>
      <c r="M44" s="348"/>
      <c r="N44" s="348"/>
      <c r="O44" s="348"/>
      <c r="P44" s="348">
        <v>0</v>
      </c>
      <c r="Q44" s="348"/>
      <c r="R44" s="348">
        <v>16000000000</v>
      </c>
    </row>
    <row r="45" spans="1:250" s="349" customFormat="1" ht="24">
      <c r="A45" s="350" t="s">
        <v>458</v>
      </c>
      <c r="B45" s="353" t="s">
        <v>459</v>
      </c>
      <c r="C45" s="352">
        <v>0</v>
      </c>
      <c r="D45" s="348"/>
      <c r="E45" s="348"/>
      <c r="F45" s="348"/>
      <c r="G45" s="348"/>
      <c r="H45" s="348"/>
      <c r="I45" s="348">
        <v>878651500</v>
      </c>
      <c r="J45" s="348">
        <v>4000000000</v>
      </c>
      <c r="K45" s="348"/>
      <c r="L45" s="348">
        <v>4000000000</v>
      </c>
      <c r="M45" s="348"/>
      <c r="N45" s="348">
        <v>4000000000</v>
      </c>
      <c r="O45" s="348"/>
      <c r="P45" s="348">
        <v>4000000000</v>
      </c>
      <c r="Q45" s="348"/>
      <c r="R45" s="348">
        <v>4000000000</v>
      </c>
    </row>
    <row r="46" spans="1:250" s="349" customFormat="1" ht="24">
      <c r="A46" s="350" t="s">
        <v>460</v>
      </c>
      <c r="B46" s="351" t="s">
        <v>461</v>
      </c>
      <c r="C46" s="352">
        <v>0</v>
      </c>
      <c r="D46" s="348">
        <v>2629084460</v>
      </c>
      <c r="E46" s="348">
        <v>412881880</v>
      </c>
      <c r="F46" s="348">
        <v>263740440</v>
      </c>
      <c r="G46" s="348"/>
      <c r="H46" s="348"/>
      <c r="I46" s="348">
        <v>90172435000</v>
      </c>
      <c r="J46" s="348">
        <v>76500000000</v>
      </c>
      <c r="K46" s="348"/>
      <c r="L46" s="348">
        <v>13500000000</v>
      </c>
      <c r="M46" s="348"/>
      <c r="N46" s="348">
        <v>0</v>
      </c>
      <c r="O46" s="348"/>
      <c r="P46" s="348">
        <v>0</v>
      </c>
      <c r="Q46" s="348"/>
      <c r="R46" s="348">
        <v>0</v>
      </c>
      <c r="S46" s="354"/>
      <c r="T46" s="354"/>
    </row>
    <row r="47" spans="1:250" s="349" customFormat="1" ht="13.5" customHeight="1">
      <c r="A47" s="355" t="s">
        <v>462</v>
      </c>
      <c r="B47" s="356" t="s">
        <v>463</v>
      </c>
      <c r="C47" s="357">
        <v>3354413724</v>
      </c>
      <c r="D47" s="348"/>
      <c r="E47" s="348"/>
      <c r="F47" s="348"/>
      <c r="G47" s="348">
        <v>2091426555</v>
      </c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</row>
    <row r="48" spans="1:250" s="349" customFormat="1" ht="3" customHeight="1">
      <c r="A48" s="358"/>
      <c r="B48" s="359"/>
      <c r="C48" s="360"/>
      <c r="E48" s="361"/>
      <c r="L48" s="348"/>
      <c r="M48" s="348"/>
      <c r="N48" s="348"/>
      <c r="O48" s="348"/>
      <c r="P48" s="348"/>
      <c r="Q48" s="348"/>
      <c r="R48" s="348"/>
    </row>
    <row r="49" spans="1:18" s="341" customFormat="1" ht="27" customHeight="1">
      <c r="A49" s="342" t="s">
        <v>464</v>
      </c>
      <c r="B49" s="343" t="s">
        <v>465</v>
      </c>
      <c r="C49" s="344">
        <f>SUM(C50:C54)</f>
        <v>5695504136</v>
      </c>
      <c r="D49" s="344">
        <f t="shared" ref="D49:R49" si="19">SUM(D50:D54)</f>
        <v>9238767049</v>
      </c>
      <c r="E49" s="344">
        <f t="shared" si="19"/>
        <v>7427192600</v>
      </c>
      <c r="F49" s="344">
        <f t="shared" si="19"/>
        <v>9647659020</v>
      </c>
      <c r="G49" s="344">
        <f t="shared" si="19"/>
        <v>14963113944</v>
      </c>
      <c r="H49" s="344">
        <f t="shared" si="19"/>
        <v>0</v>
      </c>
      <c r="I49" s="344">
        <f t="shared" si="19"/>
        <v>9458686107</v>
      </c>
      <c r="J49" s="344">
        <f t="shared" si="19"/>
        <v>8500000000</v>
      </c>
      <c r="K49" s="344"/>
      <c r="L49" s="344">
        <f t="shared" si="19"/>
        <v>27000000000</v>
      </c>
      <c r="M49" s="344"/>
      <c r="N49" s="344">
        <f t="shared" si="19"/>
        <v>40500000000</v>
      </c>
      <c r="O49" s="344"/>
      <c r="P49" s="344">
        <f t="shared" si="19"/>
        <v>40500000000</v>
      </c>
      <c r="Q49" s="344"/>
      <c r="R49" s="344">
        <f t="shared" si="19"/>
        <v>33000000000</v>
      </c>
    </row>
    <row r="50" spans="1:18" s="349" customFormat="1" ht="13.5" customHeight="1">
      <c r="A50" s="345" t="s">
        <v>466</v>
      </c>
      <c r="B50" s="346" t="s">
        <v>3</v>
      </c>
      <c r="C50" s="362">
        <v>0</v>
      </c>
      <c r="D50" s="349">
        <v>0</v>
      </c>
      <c r="E50" s="361"/>
      <c r="F50" s="348">
        <v>5000000000</v>
      </c>
      <c r="G50" s="348">
        <v>7826780813</v>
      </c>
      <c r="H50" s="348"/>
      <c r="I50" s="348">
        <v>0</v>
      </c>
      <c r="J50" s="348"/>
      <c r="K50" s="348"/>
      <c r="L50" s="348"/>
      <c r="M50" s="348"/>
      <c r="N50" s="348">
        <v>7500000000</v>
      </c>
      <c r="O50" s="348"/>
      <c r="P50" s="348">
        <v>7500000000</v>
      </c>
      <c r="Q50" s="348"/>
      <c r="R50" s="348">
        <v>0</v>
      </c>
    </row>
    <row r="51" spans="1:18" s="349" customFormat="1" ht="24">
      <c r="A51" s="350" t="s">
        <v>467</v>
      </c>
      <c r="B51" s="353" t="s">
        <v>468</v>
      </c>
      <c r="C51" s="363">
        <v>2808209990</v>
      </c>
      <c r="D51" s="364">
        <v>4012700750</v>
      </c>
      <c r="E51" s="348">
        <v>4860240000</v>
      </c>
      <c r="F51" s="348">
        <v>2515000000</v>
      </c>
      <c r="G51" s="348">
        <v>3004945750</v>
      </c>
      <c r="H51" s="348"/>
      <c r="I51" s="348">
        <v>4533609000</v>
      </c>
      <c r="J51" s="348">
        <v>4500000000</v>
      </c>
      <c r="K51" s="348"/>
      <c r="L51" s="348">
        <v>5000000000</v>
      </c>
      <c r="M51" s="348"/>
      <c r="N51" s="348">
        <v>5000000000</v>
      </c>
      <c r="O51" s="348"/>
      <c r="P51" s="348">
        <v>5000000000</v>
      </c>
      <c r="Q51" s="348"/>
      <c r="R51" s="348">
        <v>5000000000</v>
      </c>
    </row>
    <row r="52" spans="1:18" s="349" customFormat="1" ht="13.5" customHeight="1">
      <c r="A52" s="365" t="s">
        <v>469</v>
      </c>
      <c r="B52" s="366" t="s">
        <v>470</v>
      </c>
      <c r="C52" s="367">
        <v>0</v>
      </c>
      <c r="D52" s="364">
        <v>1216506415</v>
      </c>
      <c r="E52" s="348"/>
      <c r="F52" s="348"/>
      <c r="G52" s="348"/>
      <c r="H52" s="348"/>
      <c r="I52" s="348"/>
      <c r="J52" s="348"/>
      <c r="K52" s="348"/>
      <c r="L52" s="348">
        <f>+P118*1000000</f>
        <v>18000000000</v>
      </c>
      <c r="M52" s="348"/>
      <c r="N52" s="348">
        <f>+P119*1000000</f>
        <v>24000000000</v>
      </c>
      <c r="O52" s="348"/>
      <c r="P52" s="348">
        <f>+P120*1000000</f>
        <v>24000000000</v>
      </c>
      <c r="Q52" s="348"/>
      <c r="R52" s="348">
        <f>+P121*1000000</f>
        <v>24000000000</v>
      </c>
    </row>
    <row r="53" spans="1:18" s="349" customFormat="1" ht="13.5" customHeight="1">
      <c r="A53" s="350" t="s">
        <v>471</v>
      </c>
      <c r="B53" s="366" t="s">
        <v>472</v>
      </c>
      <c r="C53" s="367">
        <v>0</v>
      </c>
      <c r="D53" s="364">
        <v>0</v>
      </c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</row>
    <row r="54" spans="1:18" s="349" customFormat="1" ht="13.5" customHeight="1">
      <c r="A54" s="365" t="s">
        <v>473</v>
      </c>
      <c r="B54" s="366" t="s">
        <v>474</v>
      </c>
      <c r="C54" s="367">
        <v>2887294146</v>
      </c>
      <c r="D54" s="364">
        <v>4009559884</v>
      </c>
      <c r="E54" s="348">
        <v>2566952600</v>
      </c>
      <c r="F54" s="348">
        <v>2132659020</v>
      </c>
      <c r="G54" s="348">
        <v>4131387381</v>
      </c>
      <c r="H54" s="348"/>
      <c r="I54" s="348">
        <v>4925077107</v>
      </c>
      <c r="J54" s="348">
        <v>4000000000</v>
      </c>
      <c r="K54" s="348"/>
      <c r="L54" s="348">
        <v>4000000000</v>
      </c>
      <c r="M54" s="348"/>
      <c r="N54" s="348">
        <v>4000000000</v>
      </c>
      <c r="O54" s="348"/>
      <c r="P54" s="348">
        <v>4000000000</v>
      </c>
      <c r="Q54" s="348"/>
      <c r="R54" s="348">
        <v>4000000000</v>
      </c>
    </row>
    <row r="55" spans="1:18" s="341" customFormat="1" ht="4.5" customHeight="1">
      <c r="A55" s="368"/>
      <c r="B55" s="369"/>
      <c r="C55" s="370"/>
      <c r="E55" s="371"/>
      <c r="L55" s="372"/>
      <c r="M55" s="372"/>
      <c r="N55" s="372"/>
      <c r="O55" s="372"/>
      <c r="P55" s="372"/>
      <c r="Q55" s="372"/>
      <c r="R55" s="372"/>
    </row>
    <row r="56" spans="1:18" s="341" customFormat="1" ht="34.5" customHeight="1">
      <c r="A56" s="373"/>
      <c r="B56" s="374" t="s">
        <v>475</v>
      </c>
      <c r="C56" s="375">
        <f>+C41+C38</f>
        <v>30223284008</v>
      </c>
      <c r="D56" s="375">
        <f t="shared" ref="D56:R56" si="20">+D41+D38</f>
        <v>39779853651</v>
      </c>
      <c r="E56" s="375">
        <f t="shared" si="20"/>
        <v>46221398450</v>
      </c>
      <c r="F56" s="375">
        <f t="shared" si="20"/>
        <v>44156820949</v>
      </c>
      <c r="G56" s="375">
        <f t="shared" si="20"/>
        <v>41776547255</v>
      </c>
      <c r="H56" s="375">
        <f t="shared" si="20"/>
        <v>-1175501480149.0601</v>
      </c>
      <c r="I56" s="375">
        <f t="shared" si="20"/>
        <v>0</v>
      </c>
      <c r="J56" s="375">
        <f t="shared" si="20"/>
        <v>0</v>
      </c>
      <c r="K56" s="375"/>
      <c r="L56" s="376">
        <f t="shared" si="20"/>
        <v>0.214599609375</v>
      </c>
      <c r="M56" s="376"/>
      <c r="N56" s="376">
        <f t="shared" si="20"/>
        <v>0.47314453125</v>
      </c>
      <c r="O56" s="376"/>
      <c r="P56" s="377">
        <f t="shared" si="20"/>
        <v>-0.27978515625</v>
      </c>
      <c r="Q56" s="377"/>
      <c r="R56" s="376">
        <f t="shared" si="20"/>
        <v>0.15478515625</v>
      </c>
    </row>
    <row r="57" spans="1:18" s="349" customFormat="1" ht="21" customHeight="1">
      <c r="A57" s="378"/>
      <c r="B57" s="379"/>
      <c r="C57" s="361"/>
      <c r="E57" s="361"/>
    </row>
    <row r="58" spans="1:18" s="349" customFormat="1" ht="21" customHeight="1">
      <c r="A58" s="380"/>
      <c r="B58" s="381" t="s">
        <v>476</v>
      </c>
      <c r="C58" s="361"/>
      <c r="E58" s="361"/>
    </row>
    <row r="59" spans="1:18" s="349" customFormat="1" ht="21" customHeight="1">
      <c r="A59" s="380"/>
      <c r="B59" s="382" t="s">
        <v>477</v>
      </c>
      <c r="C59" s="361"/>
      <c r="E59" s="361"/>
      <c r="L59" s="383"/>
      <c r="M59" s="383"/>
    </row>
    <row r="60" spans="1:18" s="349" customFormat="1" ht="21" customHeight="1">
      <c r="A60" s="380"/>
      <c r="B60" s="382" t="s">
        <v>478</v>
      </c>
      <c r="C60" s="361"/>
      <c r="E60" s="361"/>
    </row>
    <row r="61" spans="1:18" s="349" customFormat="1" ht="21" customHeight="1">
      <c r="A61" s="380"/>
      <c r="B61" s="382" t="s">
        <v>479</v>
      </c>
      <c r="C61" s="361"/>
      <c r="E61" s="361"/>
      <c r="L61" s="383"/>
      <c r="M61" s="383"/>
    </row>
    <row r="62" spans="1:18" s="349" customFormat="1" ht="21" customHeight="1">
      <c r="A62" s="380"/>
      <c r="B62" s="382" t="s">
        <v>480</v>
      </c>
      <c r="C62" s="361"/>
      <c r="E62" s="361"/>
    </row>
    <row r="63" spans="1:18" s="349" customFormat="1" ht="21" customHeight="1">
      <c r="A63" s="380"/>
      <c r="B63" s="382" t="s">
        <v>481</v>
      </c>
      <c r="C63" s="361"/>
      <c r="E63" s="361"/>
    </row>
    <row r="64" spans="1:18" s="349" customFormat="1" ht="21" customHeight="1">
      <c r="A64" s="380"/>
      <c r="B64" s="382" t="s">
        <v>482</v>
      </c>
      <c r="C64" s="361"/>
      <c r="E64" s="361"/>
    </row>
    <row r="65" spans="1:5" s="349" customFormat="1" ht="21" customHeight="1">
      <c r="A65" s="380"/>
      <c r="B65" s="382" t="s">
        <v>483</v>
      </c>
      <c r="C65" s="361"/>
      <c r="E65" s="361"/>
    </row>
    <row r="66" spans="1:5" s="349" customFormat="1" ht="21" customHeight="1">
      <c r="A66" s="380"/>
      <c r="B66" s="382" t="s">
        <v>484</v>
      </c>
      <c r="C66" s="361"/>
      <c r="E66" s="361"/>
    </row>
    <row r="67" spans="1:5" s="349" customFormat="1" ht="21" customHeight="1">
      <c r="A67" s="380"/>
      <c r="B67" s="382"/>
      <c r="C67" s="361"/>
      <c r="E67" s="361"/>
    </row>
    <row r="68" spans="1:5" s="349" customFormat="1" ht="21" customHeight="1">
      <c r="A68" s="380"/>
      <c r="B68" s="382" t="s">
        <v>485</v>
      </c>
      <c r="C68" s="361"/>
      <c r="E68" s="361"/>
    </row>
    <row r="69" spans="1:5" s="349" customFormat="1" ht="21" customHeight="1">
      <c r="A69" s="380"/>
      <c r="B69" s="382" t="s">
        <v>486</v>
      </c>
      <c r="C69" s="361"/>
      <c r="E69" s="361"/>
    </row>
    <row r="70" spans="1:5" s="349" customFormat="1" ht="21" customHeight="1">
      <c r="A70" s="380"/>
      <c r="B70" s="382" t="s">
        <v>487</v>
      </c>
      <c r="C70" s="361"/>
      <c r="E70" s="361"/>
    </row>
    <row r="71" spans="1:5" s="349" customFormat="1" ht="21" customHeight="1">
      <c r="A71" s="380"/>
      <c r="B71" s="382" t="s">
        <v>488</v>
      </c>
      <c r="C71" s="361"/>
      <c r="E71" s="361"/>
    </row>
    <row r="72" spans="1:5" s="349" customFormat="1" ht="21" customHeight="1">
      <c r="A72" s="380"/>
      <c r="B72" s="382" t="s">
        <v>489</v>
      </c>
      <c r="C72" s="361"/>
      <c r="E72" s="361"/>
    </row>
    <row r="73" spans="1:5" s="349" customFormat="1" ht="21" customHeight="1">
      <c r="A73" s="380"/>
      <c r="B73" s="382" t="s">
        <v>490</v>
      </c>
      <c r="C73" s="361"/>
      <c r="E73" s="361"/>
    </row>
    <row r="74" spans="1:5" s="349" customFormat="1" ht="21" customHeight="1">
      <c r="A74" s="380"/>
      <c r="B74" s="382" t="s">
        <v>491</v>
      </c>
      <c r="C74" s="361"/>
      <c r="E74" s="361"/>
    </row>
    <row r="75" spans="1:5" s="349" customFormat="1" ht="21" customHeight="1">
      <c r="A75" s="380"/>
      <c r="B75" s="382"/>
      <c r="C75" s="361"/>
      <c r="E75" s="361"/>
    </row>
    <row r="76" spans="1:5" s="349" customFormat="1" ht="21" customHeight="1">
      <c r="A76" s="380"/>
      <c r="B76" s="382" t="s">
        <v>492</v>
      </c>
      <c r="C76" s="361"/>
      <c r="E76" s="361"/>
    </row>
    <row r="77" spans="1:5" s="349" customFormat="1" ht="21" customHeight="1">
      <c r="A77" s="380"/>
      <c r="B77" s="382"/>
      <c r="C77" s="384">
        <v>2015</v>
      </c>
      <c r="D77" s="385">
        <f>+L56</f>
        <v>0.214599609375</v>
      </c>
      <c r="E77" s="361"/>
    </row>
    <row r="78" spans="1:5" s="349" customFormat="1" ht="21" customHeight="1">
      <c r="A78" s="380"/>
      <c r="B78" s="382"/>
      <c r="C78" s="384">
        <v>2016</v>
      </c>
      <c r="D78" s="385">
        <f>+N56</f>
        <v>0.47314453125</v>
      </c>
      <c r="E78" s="361"/>
    </row>
    <row r="79" spans="1:5" s="349" customFormat="1" ht="21" customHeight="1">
      <c r="A79" s="380"/>
      <c r="B79" s="382"/>
      <c r="C79" s="384">
        <v>2017</v>
      </c>
      <c r="D79" s="385">
        <f>+P56</f>
        <v>-0.27978515625</v>
      </c>
      <c r="E79" s="361"/>
    </row>
    <row r="80" spans="1:5" s="349" customFormat="1" ht="21" customHeight="1">
      <c r="A80" s="380"/>
      <c r="B80" s="382"/>
      <c r="C80" s="384">
        <v>2018</v>
      </c>
      <c r="D80" s="385">
        <f>+R56</f>
        <v>0.15478515625</v>
      </c>
      <c r="E80" s="361"/>
    </row>
    <row r="81" spans="1:5" s="349" customFormat="1" ht="21" customHeight="1">
      <c r="A81" s="380"/>
      <c r="B81" s="382"/>
      <c r="C81" s="361"/>
      <c r="E81" s="361"/>
    </row>
    <row r="82" spans="1:5" s="349" customFormat="1" ht="21" customHeight="1">
      <c r="A82" s="380"/>
      <c r="B82" s="382" t="s">
        <v>493</v>
      </c>
      <c r="C82" s="361"/>
      <c r="E82" s="361"/>
    </row>
    <row r="83" spans="1:5" s="349" customFormat="1" ht="21" customHeight="1">
      <c r="A83" s="380"/>
      <c r="B83" s="382"/>
      <c r="C83" s="361"/>
      <c r="E83" s="361"/>
    </row>
    <row r="84" spans="1:5" s="349" customFormat="1" ht="21" customHeight="1">
      <c r="A84" s="380"/>
      <c r="B84" s="382"/>
      <c r="C84" s="361"/>
      <c r="E84" s="361"/>
    </row>
    <row r="85" spans="1:5" s="349" customFormat="1" ht="21" customHeight="1">
      <c r="A85" s="380"/>
      <c r="B85" s="382"/>
      <c r="C85" s="361"/>
      <c r="E85" s="361"/>
    </row>
    <row r="86" spans="1:5" s="349" customFormat="1" ht="21" customHeight="1">
      <c r="A86" s="380"/>
      <c r="B86" s="382"/>
      <c r="C86" s="361"/>
      <c r="E86" s="361"/>
    </row>
    <row r="87" spans="1:5" s="349" customFormat="1" ht="21" customHeight="1">
      <c r="A87" s="380"/>
      <c r="B87" s="382"/>
      <c r="C87" s="361"/>
      <c r="E87" s="361"/>
    </row>
    <row r="88" spans="1:5" s="349" customFormat="1" ht="21" customHeight="1">
      <c r="A88" s="380"/>
      <c r="B88" s="382"/>
      <c r="C88" s="361"/>
      <c r="E88" s="361"/>
    </row>
    <row r="89" spans="1:5" s="349" customFormat="1" ht="21" customHeight="1">
      <c r="A89" s="380"/>
      <c r="B89" s="382"/>
      <c r="C89" s="361"/>
      <c r="E89" s="361"/>
    </row>
    <row r="90" spans="1:5" s="349" customFormat="1" ht="21" customHeight="1">
      <c r="A90" s="380"/>
      <c r="B90" s="382"/>
      <c r="C90" s="361"/>
      <c r="E90" s="361"/>
    </row>
    <row r="91" spans="1:5" s="349" customFormat="1" ht="21" customHeight="1">
      <c r="A91" s="380"/>
      <c r="B91" s="382"/>
      <c r="C91" s="361"/>
      <c r="E91" s="361"/>
    </row>
    <row r="92" spans="1:5" s="349" customFormat="1" ht="21" customHeight="1">
      <c r="A92" s="380"/>
      <c r="B92" s="382"/>
      <c r="C92" s="361"/>
      <c r="E92" s="361"/>
    </row>
    <row r="93" spans="1:5" s="349" customFormat="1" ht="21" customHeight="1">
      <c r="A93" s="380"/>
      <c r="B93" s="382"/>
      <c r="C93" s="361"/>
      <c r="E93" s="361"/>
    </row>
    <row r="94" spans="1:5" s="349" customFormat="1" ht="21" customHeight="1">
      <c r="A94" s="380"/>
      <c r="B94" s="382"/>
      <c r="C94" s="361"/>
      <c r="E94" s="361"/>
    </row>
    <row r="95" spans="1:5" s="349" customFormat="1" ht="21" customHeight="1">
      <c r="A95" s="380"/>
      <c r="B95" s="382"/>
      <c r="C95" s="361"/>
      <c r="E95" s="361"/>
    </row>
    <row r="96" spans="1:5" s="349" customFormat="1" ht="21" customHeight="1">
      <c r="A96" s="380"/>
      <c r="B96" s="382"/>
      <c r="C96" s="361"/>
      <c r="E96" s="361"/>
    </row>
    <row r="97" spans="1:5" s="349" customFormat="1" ht="21" customHeight="1">
      <c r="A97" s="380"/>
      <c r="B97" s="382"/>
      <c r="C97" s="361"/>
      <c r="E97" s="361"/>
    </row>
    <row r="98" spans="1:5" s="349" customFormat="1" ht="21" customHeight="1">
      <c r="A98" s="380"/>
      <c r="B98" s="382"/>
      <c r="C98" s="361"/>
      <c r="E98" s="361"/>
    </row>
    <row r="99" spans="1:5" s="349" customFormat="1" ht="21" customHeight="1">
      <c r="A99" s="380"/>
      <c r="B99" s="382"/>
      <c r="C99" s="361"/>
      <c r="E99" s="361"/>
    </row>
    <row r="100" spans="1:5" s="349" customFormat="1" ht="21" customHeight="1">
      <c r="A100" s="380"/>
      <c r="B100" s="382"/>
      <c r="C100" s="361"/>
      <c r="E100" s="361"/>
    </row>
    <row r="101" spans="1:5" s="349" customFormat="1" ht="21" customHeight="1">
      <c r="A101" s="380"/>
      <c r="B101" s="382"/>
      <c r="C101" s="361"/>
      <c r="E101" s="361"/>
    </row>
    <row r="102" spans="1:5" s="349" customFormat="1" ht="21" customHeight="1">
      <c r="A102" s="380"/>
      <c r="B102" s="382"/>
      <c r="C102" s="361"/>
      <c r="E102" s="361"/>
    </row>
    <row r="103" spans="1:5" s="349" customFormat="1" ht="21" customHeight="1">
      <c r="A103" s="380"/>
      <c r="B103" s="382"/>
      <c r="C103" s="361"/>
      <c r="E103" s="361"/>
    </row>
    <row r="104" spans="1:5" s="349" customFormat="1" ht="21" customHeight="1">
      <c r="A104" s="380"/>
      <c r="B104" s="382"/>
      <c r="C104" s="361"/>
      <c r="E104" s="361"/>
    </row>
    <row r="105" spans="1:5" s="349" customFormat="1" ht="21" customHeight="1">
      <c r="A105" s="380"/>
      <c r="B105" s="382"/>
      <c r="C105" s="361"/>
      <c r="E105" s="361"/>
    </row>
    <row r="106" spans="1:5" s="349" customFormat="1" ht="21" customHeight="1">
      <c r="A106" s="380"/>
      <c r="B106" s="382"/>
      <c r="C106" s="361"/>
      <c r="E106" s="361"/>
    </row>
    <row r="107" spans="1:5" s="349" customFormat="1" ht="21" customHeight="1">
      <c r="A107" s="380"/>
      <c r="B107" s="382"/>
      <c r="C107" s="361"/>
      <c r="E107" s="361"/>
    </row>
    <row r="108" spans="1:5" s="349" customFormat="1" ht="21" customHeight="1">
      <c r="A108" s="380"/>
      <c r="B108" s="382"/>
      <c r="C108" s="361"/>
      <c r="E108" s="361"/>
    </row>
    <row r="109" spans="1:5" s="349" customFormat="1" ht="21" customHeight="1">
      <c r="A109" s="380"/>
      <c r="B109" s="382"/>
      <c r="C109" s="361"/>
      <c r="E109" s="361"/>
    </row>
    <row r="110" spans="1:5" s="349" customFormat="1" ht="21" customHeight="1">
      <c r="A110" s="380"/>
      <c r="B110" s="382"/>
      <c r="C110" s="361"/>
      <c r="E110" s="361"/>
    </row>
    <row r="111" spans="1:5" s="349" customFormat="1" ht="21" customHeight="1">
      <c r="A111" s="380"/>
      <c r="B111" s="382"/>
      <c r="C111" s="361"/>
      <c r="E111" s="361"/>
    </row>
    <row r="112" spans="1:5" s="349" customFormat="1" ht="21" customHeight="1">
      <c r="A112" s="380"/>
      <c r="B112" s="382"/>
      <c r="C112" s="361"/>
      <c r="E112" s="361"/>
    </row>
    <row r="113" spans="1:18" s="349" customFormat="1" ht="21" customHeight="1">
      <c r="A113" s="380"/>
      <c r="B113" s="382"/>
      <c r="C113" s="361"/>
      <c r="E113" s="361"/>
    </row>
    <row r="115" spans="1:18" ht="20.100000000000001" customHeight="1">
      <c r="J115" s="386">
        <f>+J25-J19</f>
        <v>497644536446</v>
      </c>
      <c r="K115" s="386"/>
      <c r="L115" s="387">
        <f>+'[1]BELANJA WAJIB'!E6</f>
        <v>518517500000</v>
      </c>
      <c r="M115" s="387"/>
      <c r="N115" s="387">
        <f>+'[1]BELANJA WAJIB'!F6</f>
        <v>561295193750</v>
      </c>
      <c r="O115" s="387"/>
      <c r="P115" s="387">
        <f>+'[1]BELANJA WAJIB'!G6</f>
        <v>607602047234.375</v>
      </c>
      <c r="Q115" s="387"/>
      <c r="R115" s="387">
        <f>+'[1]BELANJA WAJIB'!H6</f>
        <v>659248221249.29687</v>
      </c>
    </row>
    <row r="116" spans="1:18" ht="20.100000000000001" customHeight="1">
      <c r="L116" s="13" t="s">
        <v>8</v>
      </c>
    </row>
    <row r="117" spans="1:18" ht="20.100000000000001" customHeight="1">
      <c r="J117" s="386" t="s">
        <v>8</v>
      </c>
      <c r="K117" s="386"/>
    </row>
    <row r="118" spans="1:18" ht="20.100000000000001" customHeight="1">
      <c r="L118" s="13">
        <v>2015</v>
      </c>
      <c r="N118" s="388">
        <f>+[2]Sheet2!$O$56</f>
        <v>5304.8333333333358</v>
      </c>
      <c r="O118" s="388"/>
      <c r="P118" s="289">
        <v>18000</v>
      </c>
      <c r="Q118" s="289"/>
      <c r="R118" s="289">
        <f>+N118+P118</f>
        <v>23304.833333333336</v>
      </c>
    </row>
    <row r="119" spans="1:18" ht="20.100000000000001" customHeight="1">
      <c r="L119" s="13">
        <v>2016</v>
      </c>
      <c r="N119" s="388">
        <f>+[2]Sheet2!$O$57</f>
        <v>4536</v>
      </c>
      <c r="O119" s="388"/>
      <c r="P119" s="289">
        <v>24000</v>
      </c>
      <c r="Q119" s="289"/>
      <c r="R119" s="289">
        <f t="shared" ref="R119:R121" si="21">+N119+P119</f>
        <v>28536</v>
      </c>
    </row>
    <row r="120" spans="1:18" ht="20.100000000000001" customHeight="1">
      <c r="L120" s="13">
        <v>2017</v>
      </c>
      <c r="N120" s="388">
        <f>+[2]Sheet2!$O$58</f>
        <v>2808</v>
      </c>
      <c r="O120" s="388"/>
      <c r="P120" s="289">
        <v>24000</v>
      </c>
      <c r="Q120" s="289"/>
      <c r="R120" s="289">
        <f t="shared" si="21"/>
        <v>26808</v>
      </c>
    </row>
    <row r="121" spans="1:18" ht="20.100000000000001" customHeight="1">
      <c r="L121" s="13">
        <v>2018</v>
      </c>
      <c r="N121" s="388">
        <f>+[2]Sheet2!$O$59</f>
        <v>1080</v>
      </c>
      <c r="O121" s="388"/>
      <c r="P121" s="289">
        <v>24000</v>
      </c>
      <c r="Q121" s="289"/>
      <c r="R121" s="289">
        <f t="shared" si="21"/>
        <v>25080</v>
      </c>
    </row>
  </sheetData>
  <mergeCells count="4">
    <mergeCell ref="A1:G1"/>
    <mergeCell ref="A2:G2"/>
    <mergeCell ref="C3:G3"/>
    <mergeCell ref="L3:R3"/>
  </mergeCells>
  <pageMargins left="0.7" right="0.7" top="0.75" bottom="0.75" header="0.3" footer="0.3"/>
  <pageSetup paperSize="258" scale="6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M129"/>
  <sheetViews>
    <sheetView topLeftCell="B1" workbookViewId="0">
      <pane xSplit="1" ySplit="4" topLeftCell="J17" activePane="bottomRight" state="frozen"/>
      <selection activeCell="B1" sqref="B1"/>
      <selection pane="topRight" activeCell="C1" sqref="C1"/>
      <selection pane="bottomLeft" activeCell="B5" sqref="B5"/>
      <selection pane="bottomRight" activeCell="J73" sqref="J73:N73"/>
    </sheetView>
  </sheetViews>
  <sheetFormatPr defaultColWidth="23.28515625" defaultRowHeight="20.100000000000001" customHeight="1"/>
  <cols>
    <col min="1" max="1" width="13.140625" style="10" customWidth="1"/>
    <col min="2" max="2" width="27.140625" style="11" customWidth="1"/>
    <col min="3" max="3" width="18.7109375" style="12" hidden="1" customWidth="1"/>
    <col min="4" max="4" width="18.28515625" style="12" hidden="1" customWidth="1"/>
    <col min="5" max="7" width="15.42578125" style="13" hidden="1" customWidth="1"/>
    <col min="8" max="8" width="17.28515625" style="13" hidden="1" customWidth="1"/>
    <col min="9" max="9" width="16.85546875" style="13" hidden="1" customWidth="1"/>
    <col min="10" max="10" width="17.28515625" style="13" customWidth="1"/>
    <col min="11" max="11" width="19.140625" style="13" bestFit="1" customWidth="1"/>
    <col min="12" max="12" width="19.140625" style="276" bestFit="1" customWidth="1"/>
    <col min="13" max="14" width="19.140625" style="13" bestFit="1" customWidth="1"/>
    <col min="15" max="15" width="17.85546875" style="13" bestFit="1" customWidth="1"/>
    <col min="16" max="16" width="22.5703125" style="13" customWidth="1"/>
    <col min="17" max="241" width="9.140625" style="13" customWidth="1"/>
    <col min="242" max="242" width="6" style="13" customWidth="1"/>
    <col min="243" max="243" width="50.28515625" style="13" customWidth="1"/>
    <col min="244" max="245" width="0" style="13" hidden="1" customWidth="1"/>
    <col min="246" max="246" width="20.7109375" style="13" customWidth="1"/>
    <col min="247" max="247" width="23.28515625" style="13" customWidth="1"/>
    <col min="248" max="257" width="23.28515625" style="9"/>
    <col min="258" max="258" width="13.140625" style="9" customWidth="1"/>
    <col min="259" max="259" width="58" style="9" customWidth="1"/>
    <col min="260" max="260" width="25" style="9" customWidth="1"/>
    <col min="261" max="261" width="20.7109375" style="9" customWidth="1"/>
    <col min="262" max="262" width="25" style="9" customWidth="1"/>
    <col min="263" max="497" width="9.140625" style="9" customWidth="1"/>
    <col min="498" max="498" width="6" style="9" customWidth="1"/>
    <col min="499" max="499" width="50.28515625" style="9" customWidth="1"/>
    <col min="500" max="501" width="0" style="9" hidden="1" customWidth="1"/>
    <col min="502" max="502" width="20.7109375" style="9" customWidth="1"/>
    <col min="503" max="503" width="23.28515625" style="9" customWidth="1"/>
    <col min="504" max="513" width="23.28515625" style="9"/>
    <col min="514" max="514" width="13.140625" style="9" customWidth="1"/>
    <col min="515" max="515" width="58" style="9" customWidth="1"/>
    <col min="516" max="516" width="25" style="9" customWidth="1"/>
    <col min="517" max="517" width="20.7109375" style="9" customWidth="1"/>
    <col min="518" max="518" width="25" style="9" customWidth="1"/>
    <col min="519" max="753" width="9.140625" style="9" customWidth="1"/>
    <col min="754" max="754" width="6" style="9" customWidth="1"/>
    <col min="755" max="755" width="50.28515625" style="9" customWidth="1"/>
    <col min="756" max="757" width="0" style="9" hidden="1" customWidth="1"/>
    <col min="758" max="758" width="20.7109375" style="9" customWidth="1"/>
    <col min="759" max="759" width="23.28515625" style="9" customWidth="1"/>
    <col min="760" max="769" width="23.28515625" style="9"/>
    <col min="770" max="770" width="13.140625" style="9" customWidth="1"/>
    <col min="771" max="771" width="58" style="9" customWidth="1"/>
    <col min="772" max="772" width="25" style="9" customWidth="1"/>
    <col min="773" max="773" width="20.7109375" style="9" customWidth="1"/>
    <col min="774" max="774" width="25" style="9" customWidth="1"/>
    <col min="775" max="1009" width="9.140625" style="9" customWidth="1"/>
    <col min="1010" max="1010" width="6" style="9" customWidth="1"/>
    <col min="1011" max="1011" width="50.28515625" style="9" customWidth="1"/>
    <col min="1012" max="1013" width="0" style="9" hidden="1" customWidth="1"/>
    <col min="1014" max="1014" width="20.7109375" style="9" customWidth="1"/>
    <col min="1015" max="1015" width="23.28515625" style="9" customWidth="1"/>
    <col min="1016" max="1025" width="23.28515625" style="9"/>
    <col min="1026" max="1026" width="13.140625" style="9" customWidth="1"/>
    <col min="1027" max="1027" width="58" style="9" customWidth="1"/>
    <col min="1028" max="1028" width="25" style="9" customWidth="1"/>
    <col min="1029" max="1029" width="20.7109375" style="9" customWidth="1"/>
    <col min="1030" max="1030" width="25" style="9" customWidth="1"/>
    <col min="1031" max="1265" width="9.140625" style="9" customWidth="1"/>
    <col min="1266" max="1266" width="6" style="9" customWidth="1"/>
    <col min="1267" max="1267" width="50.28515625" style="9" customWidth="1"/>
    <col min="1268" max="1269" width="0" style="9" hidden="1" customWidth="1"/>
    <col min="1270" max="1270" width="20.7109375" style="9" customWidth="1"/>
    <col min="1271" max="1271" width="23.28515625" style="9" customWidth="1"/>
    <col min="1272" max="1281" width="23.28515625" style="9"/>
    <col min="1282" max="1282" width="13.140625" style="9" customWidth="1"/>
    <col min="1283" max="1283" width="58" style="9" customWidth="1"/>
    <col min="1284" max="1284" width="25" style="9" customWidth="1"/>
    <col min="1285" max="1285" width="20.7109375" style="9" customWidth="1"/>
    <col min="1286" max="1286" width="25" style="9" customWidth="1"/>
    <col min="1287" max="1521" width="9.140625" style="9" customWidth="1"/>
    <col min="1522" max="1522" width="6" style="9" customWidth="1"/>
    <col min="1523" max="1523" width="50.28515625" style="9" customWidth="1"/>
    <col min="1524" max="1525" width="0" style="9" hidden="1" customWidth="1"/>
    <col min="1526" max="1526" width="20.7109375" style="9" customWidth="1"/>
    <col min="1527" max="1527" width="23.28515625" style="9" customWidth="1"/>
    <col min="1528" max="1537" width="23.28515625" style="9"/>
    <col min="1538" max="1538" width="13.140625" style="9" customWidth="1"/>
    <col min="1539" max="1539" width="58" style="9" customWidth="1"/>
    <col min="1540" max="1540" width="25" style="9" customWidth="1"/>
    <col min="1541" max="1541" width="20.7109375" style="9" customWidth="1"/>
    <col min="1542" max="1542" width="25" style="9" customWidth="1"/>
    <col min="1543" max="1777" width="9.140625" style="9" customWidth="1"/>
    <col min="1778" max="1778" width="6" style="9" customWidth="1"/>
    <col min="1779" max="1779" width="50.28515625" style="9" customWidth="1"/>
    <col min="1780" max="1781" width="0" style="9" hidden="1" customWidth="1"/>
    <col min="1782" max="1782" width="20.7109375" style="9" customWidth="1"/>
    <col min="1783" max="1783" width="23.28515625" style="9" customWidth="1"/>
    <col min="1784" max="1793" width="23.28515625" style="9"/>
    <col min="1794" max="1794" width="13.140625" style="9" customWidth="1"/>
    <col min="1795" max="1795" width="58" style="9" customWidth="1"/>
    <col min="1796" max="1796" width="25" style="9" customWidth="1"/>
    <col min="1797" max="1797" width="20.7109375" style="9" customWidth="1"/>
    <col min="1798" max="1798" width="25" style="9" customWidth="1"/>
    <col min="1799" max="2033" width="9.140625" style="9" customWidth="1"/>
    <col min="2034" max="2034" width="6" style="9" customWidth="1"/>
    <col min="2035" max="2035" width="50.28515625" style="9" customWidth="1"/>
    <col min="2036" max="2037" width="0" style="9" hidden="1" customWidth="1"/>
    <col min="2038" max="2038" width="20.7109375" style="9" customWidth="1"/>
    <col min="2039" max="2039" width="23.28515625" style="9" customWidth="1"/>
    <col min="2040" max="2049" width="23.28515625" style="9"/>
    <col min="2050" max="2050" width="13.140625" style="9" customWidth="1"/>
    <col min="2051" max="2051" width="58" style="9" customWidth="1"/>
    <col min="2052" max="2052" width="25" style="9" customWidth="1"/>
    <col min="2053" max="2053" width="20.7109375" style="9" customWidth="1"/>
    <col min="2054" max="2054" width="25" style="9" customWidth="1"/>
    <col min="2055" max="2289" width="9.140625" style="9" customWidth="1"/>
    <col min="2290" max="2290" width="6" style="9" customWidth="1"/>
    <col min="2291" max="2291" width="50.28515625" style="9" customWidth="1"/>
    <col min="2292" max="2293" width="0" style="9" hidden="1" customWidth="1"/>
    <col min="2294" max="2294" width="20.7109375" style="9" customWidth="1"/>
    <col min="2295" max="2295" width="23.28515625" style="9" customWidth="1"/>
    <col min="2296" max="2305" width="23.28515625" style="9"/>
    <col min="2306" max="2306" width="13.140625" style="9" customWidth="1"/>
    <col min="2307" max="2307" width="58" style="9" customWidth="1"/>
    <col min="2308" max="2308" width="25" style="9" customWidth="1"/>
    <col min="2309" max="2309" width="20.7109375" style="9" customWidth="1"/>
    <col min="2310" max="2310" width="25" style="9" customWidth="1"/>
    <col min="2311" max="2545" width="9.140625" style="9" customWidth="1"/>
    <col min="2546" max="2546" width="6" style="9" customWidth="1"/>
    <col min="2547" max="2547" width="50.28515625" style="9" customWidth="1"/>
    <col min="2548" max="2549" width="0" style="9" hidden="1" customWidth="1"/>
    <col min="2550" max="2550" width="20.7109375" style="9" customWidth="1"/>
    <col min="2551" max="2551" width="23.28515625" style="9" customWidth="1"/>
    <col min="2552" max="2561" width="23.28515625" style="9"/>
    <col min="2562" max="2562" width="13.140625" style="9" customWidth="1"/>
    <col min="2563" max="2563" width="58" style="9" customWidth="1"/>
    <col min="2564" max="2564" width="25" style="9" customWidth="1"/>
    <col min="2565" max="2565" width="20.7109375" style="9" customWidth="1"/>
    <col min="2566" max="2566" width="25" style="9" customWidth="1"/>
    <col min="2567" max="2801" width="9.140625" style="9" customWidth="1"/>
    <col min="2802" max="2802" width="6" style="9" customWidth="1"/>
    <col min="2803" max="2803" width="50.28515625" style="9" customWidth="1"/>
    <col min="2804" max="2805" width="0" style="9" hidden="1" customWidth="1"/>
    <col min="2806" max="2806" width="20.7109375" style="9" customWidth="1"/>
    <col min="2807" max="2807" width="23.28515625" style="9" customWidth="1"/>
    <col min="2808" max="2817" width="23.28515625" style="9"/>
    <col min="2818" max="2818" width="13.140625" style="9" customWidth="1"/>
    <col min="2819" max="2819" width="58" style="9" customWidth="1"/>
    <col min="2820" max="2820" width="25" style="9" customWidth="1"/>
    <col min="2821" max="2821" width="20.7109375" style="9" customWidth="1"/>
    <col min="2822" max="2822" width="25" style="9" customWidth="1"/>
    <col min="2823" max="3057" width="9.140625" style="9" customWidth="1"/>
    <col min="3058" max="3058" width="6" style="9" customWidth="1"/>
    <col min="3059" max="3059" width="50.28515625" style="9" customWidth="1"/>
    <col min="3060" max="3061" width="0" style="9" hidden="1" customWidth="1"/>
    <col min="3062" max="3062" width="20.7109375" style="9" customWidth="1"/>
    <col min="3063" max="3063" width="23.28515625" style="9" customWidth="1"/>
    <col min="3064" max="3073" width="23.28515625" style="9"/>
    <col min="3074" max="3074" width="13.140625" style="9" customWidth="1"/>
    <col min="3075" max="3075" width="58" style="9" customWidth="1"/>
    <col min="3076" max="3076" width="25" style="9" customWidth="1"/>
    <col min="3077" max="3077" width="20.7109375" style="9" customWidth="1"/>
    <col min="3078" max="3078" width="25" style="9" customWidth="1"/>
    <col min="3079" max="3313" width="9.140625" style="9" customWidth="1"/>
    <col min="3314" max="3314" width="6" style="9" customWidth="1"/>
    <col min="3315" max="3315" width="50.28515625" style="9" customWidth="1"/>
    <col min="3316" max="3317" width="0" style="9" hidden="1" customWidth="1"/>
    <col min="3318" max="3318" width="20.7109375" style="9" customWidth="1"/>
    <col min="3319" max="3319" width="23.28515625" style="9" customWidth="1"/>
    <col min="3320" max="3329" width="23.28515625" style="9"/>
    <col min="3330" max="3330" width="13.140625" style="9" customWidth="1"/>
    <col min="3331" max="3331" width="58" style="9" customWidth="1"/>
    <col min="3332" max="3332" width="25" style="9" customWidth="1"/>
    <col min="3333" max="3333" width="20.7109375" style="9" customWidth="1"/>
    <col min="3334" max="3334" width="25" style="9" customWidth="1"/>
    <col min="3335" max="3569" width="9.140625" style="9" customWidth="1"/>
    <col min="3570" max="3570" width="6" style="9" customWidth="1"/>
    <col min="3571" max="3571" width="50.28515625" style="9" customWidth="1"/>
    <col min="3572" max="3573" width="0" style="9" hidden="1" customWidth="1"/>
    <col min="3574" max="3574" width="20.7109375" style="9" customWidth="1"/>
    <col min="3575" max="3575" width="23.28515625" style="9" customWidth="1"/>
    <col min="3576" max="3585" width="23.28515625" style="9"/>
    <col min="3586" max="3586" width="13.140625" style="9" customWidth="1"/>
    <col min="3587" max="3587" width="58" style="9" customWidth="1"/>
    <col min="3588" max="3588" width="25" style="9" customWidth="1"/>
    <col min="3589" max="3589" width="20.7109375" style="9" customWidth="1"/>
    <col min="3590" max="3590" width="25" style="9" customWidth="1"/>
    <col min="3591" max="3825" width="9.140625" style="9" customWidth="1"/>
    <col min="3826" max="3826" width="6" style="9" customWidth="1"/>
    <col min="3827" max="3827" width="50.28515625" style="9" customWidth="1"/>
    <col min="3828" max="3829" width="0" style="9" hidden="1" customWidth="1"/>
    <col min="3830" max="3830" width="20.7109375" style="9" customWidth="1"/>
    <col min="3831" max="3831" width="23.28515625" style="9" customWidth="1"/>
    <col min="3832" max="3841" width="23.28515625" style="9"/>
    <col min="3842" max="3842" width="13.140625" style="9" customWidth="1"/>
    <col min="3843" max="3843" width="58" style="9" customWidth="1"/>
    <col min="3844" max="3844" width="25" style="9" customWidth="1"/>
    <col min="3845" max="3845" width="20.7109375" style="9" customWidth="1"/>
    <col min="3846" max="3846" width="25" style="9" customWidth="1"/>
    <col min="3847" max="4081" width="9.140625" style="9" customWidth="1"/>
    <col min="4082" max="4082" width="6" style="9" customWidth="1"/>
    <col min="4083" max="4083" width="50.28515625" style="9" customWidth="1"/>
    <col min="4084" max="4085" width="0" style="9" hidden="1" customWidth="1"/>
    <col min="4086" max="4086" width="20.7109375" style="9" customWidth="1"/>
    <col min="4087" max="4087" width="23.28515625" style="9" customWidth="1"/>
    <col min="4088" max="4097" width="23.28515625" style="9"/>
    <col min="4098" max="4098" width="13.140625" style="9" customWidth="1"/>
    <col min="4099" max="4099" width="58" style="9" customWidth="1"/>
    <col min="4100" max="4100" width="25" style="9" customWidth="1"/>
    <col min="4101" max="4101" width="20.7109375" style="9" customWidth="1"/>
    <col min="4102" max="4102" width="25" style="9" customWidth="1"/>
    <col min="4103" max="4337" width="9.140625" style="9" customWidth="1"/>
    <col min="4338" max="4338" width="6" style="9" customWidth="1"/>
    <col min="4339" max="4339" width="50.28515625" style="9" customWidth="1"/>
    <col min="4340" max="4341" width="0" style="9" hidden="1" customWidth="1"/>
    <col min="4342" max="4342" width="20.7109375" style="9" customWidth="1"/>
    <col min="4343" max="4343" width="23.28515625" style="9" customWidth="1"/>
    <col min="4344" max="4353" width="23.28515625" style="9"/>
    <col min="4354" max="4354" width="13.140625" style="9" customWidth="1"/>
    <col min="4355" max="4355" width="58" style="9" customWidth="1"/>
    <col min="4356" max="4356" width="25" style="9" customWidth="1"/>
    <col min="4357" max="4357" width="20.7109375" style="9" customWidth="1"/>
    <col min="4358" max="4358" width="25" style="9" customWidth="1"/>
    <col min="4359" max="4593" width="9.140625" style="9" customWidth="1"/>
    <col min="4594" max="4594" width="6" style="9" customWidth="1"/>
    <col min="4595" max="4595" width="50.28515625" style="9" customWidth="1"/>
    <col min="4596" max="4597" width="0" style="9" hidden="1" customWidth="1"/>
    <col min="4598" max="4598" width="20.7109375" style="9" customWidth="1"/>
    <col min="4599" max="4599" width="23.28515625" style="9" customWidth="1"/>
    <col min="4600" max="4609" width="23.28515625" style="9"/>
    <col min="4610" max="4610" width="13.140625" style="9" customWidth="1"/>
    <col min="4611" max="4611" width="58" style="9" customWidth="1"/>
    <col min="4612" max="4612" width="25" style="9" customWidth="1"/>
    <col min="4613" max="4613" width="20.7109375" style="9" customWidth="1"/>
    <col min="4614" max="4614" width="25" style="9" customWidth="1"/>
    <col min="4615" max="4849" width="9.140625" style="9" customWidth="1"/>
    <col min="4850" max="4850" width="6" style="9" customWidth="1"/>
    <col min="4851" max="4851" width="50.28515625" style="9" customWidth="1"/>
    <col min="4852" max="4853" width="0" style="9" hidden="1" customWidth="1"/>
    <col min="4854" max="4854" width="20.7109375" style="9" customWidth="1"/>
    <col min="4855" max="4855" width="23.28515625" style="9" customWidth="1"/>
    <col min="4856" max="4865" width="23.28515625" style="9"/>
    <col min="4866" max="4866" width="13.140625" style="9" customWidth="1"/>
    <col min="4867" max="4867" width="58" style="9" customWidth="1"/>
    <col min="4868" max="4868" width="25" style="9" customWidth="1"/>
    <col min="4869" max="4869" width="20.7109375" style="9" customWidth="1"/>
    <col min="4870" max="4870" width="25" style="9" customWidth="1"/>
    <col min="4871" max="5105" width="9.140625" style="9" customWidth="1"/>
    <col min="5106" max="5106" width="6" style="9" customWidth="1"/>
    <col min="5107" max="5107" width="50.28515625" style="9" customWidth="1"/>
    <col min="5108" max="5109" width="0" style="9" hidden="1" customWidth="1"/>
    <col min="5110" max="5110" width="20.7109375" style="9" customWidth="1"/>
    <col min="5111" max="5111" width="23.28515625" style="9" customWidth="1"/>
    <col min="5112" max="5121" width="23.28515625" style="9"/>
    <col min="5122" max="5122" width="13.140625" style="9" customWidth="1"/>
    <col min="5123" max="5123" width="58" style="9" customWidth="1"/>
    <col min="5124" max="5124" width="25" style="9" customWidth="1"/>
    <col min="5125" max="5125" width="20.7109375" style="9" customWidth="1"/>
    <col min="5126" max="5126" width="25" style="9" customWidth="1"/>
    <col min="5127" max="5361" width="9.140625" style="9" customWidth="1"/>
    <col min="5362" max="5362" width="6" style="9" customWidth="1"/>
    <col min="5363" max="5363" width="50.28515625" style="9" customWidth="1"/>
    <col min="5364" max="5365" width="0" style="9" hidden="1" customWidth="1"/>
    <col min="5366" max="5366" width="20.7109375" style="9" customWidth="1"/>
    <col min="5367" max="5367" width="23.28515625" style="9" customWidth="1"/>
    <col min="5368" max="5377" width="23.28515625" style="9"/>
    <col min="5378" max="5378" width="13.140625" style="9" customWidth="1"/>
    <col min="5379" max="5379" width="58" style="9" customWidth="1"/>
    <col min="5380" max="5380" width="25" style="9" customWidth="1"/>
    <col min="5381" max="5381" width="20.7109375" style="9" customWidth="1"/>
    <col min="5382" max="5382" width="25" style="9" customWidth="1"/>
    <col min="5383" max="5617" width="9.140625" style="9" customWidth="1"/>
    <col min="5618" max="5618" width="6" style="9" customWidth="1"/>
    <col min="5619" max="5619" width="50.28515625" style="9" customWidth="1"/>
    <col min="5620" max="5621" width="0" style="9" hidden="1" customWidth="1"/>
    <col min="5622" max="5622" width="20.7109375" style="9" customWidth="1"/>
    <col min="5623" max="5623" width="23.28515625" style="9" customWidth="1"/>
    <col min="5624" max="5633" width="23.28515625" style="9"/>
    <col min="5634" max="5634" width="13.140625" style="9" customWidth="1"/>
    <col min="5635" max="5635" width="58" style="9" customWidth="1"/>
    <col min="5636" max="5636" width="25" style="9" customWidth="1"/>
    <col min="5637" max="5637" width="20.7109375" style="9" customWidth="1"/>
    <col min="5638" max="5638" width="25" style="9" customWidth="1"/>
    <col min="5639" max="5873" width="9.140625" style="9" customWidth="1"/>
    <col min="5874" max="5874" width="6" style="9" customWidth="1"/>
    <col min="5875" max="5875" width="50.28515625" style="9" customWidth="1"/>
    <col min="5876" max="5877" width="0" style="9" hidden="1" customWidth="1"/>
    <col min="5878" max="5878" width="20.7109375" style="9" customWidth="1"/>
    <col min="5879" max="5879" width="23.28515625" style="9" customWidth="1"/>
    <col min="5880" max="5889" width="23.28515625" style="9"/>
    <col min="5890" max="5890" width="13.140625" style="9" customWidth="1"/>
    <col min="5891" max="5891" width="58" style="9" customWidth="1"/>
    <col min="5892" max="5892" width="25" style="9" customWidth="1"/>
    <col min="5893" max="5893" width="20.7109375" style="9" customWidth="1"/>
    <col min="5894" max="5894" width="25" style="9" customWidth="1"/>
    <col min="5895" max="6129" width="9.140625" style="9" customWidth="1"/>
    <col min="6130" max="6130" width="6" style="9" customWidth="1"/>
    <col min="6131" max="6131" width="50.28515625" style="9" customWidth="1"/>
    <col min="6132" max="6133" width="0" style="9" hidden="1" customWidth="1"/>
    <col min="6134" max="6134" width="20.7109375" style="9" customWidth="1"/>
    <col min="6135" max="6135" width="23.28515625" style="9" customWidth="1"/>
    <col min="6136" max="6145" width="23.28515625" style="9"/>
    <col min="6146" max="6146" width="13.140625" style="9" customWidth="1"/>
    <col min="6147" max="6147" width="58" style="9" customWidth="1"/>
    <col min="6148" max="6148" width="25" style="9" customWidth="1"/>
    <col min="6149" max="6149" width="20.7109375" style="9" customWidth="1"/>
    <col min="6150" max="6150" width="25" style="9" customWidth="1"/>
    <col min="6151" max="6385" width="9.140625" style="9" customWidth="1"/>
    <col min="6386" max="6386" width="6" style="9" customWidth="1"/>
    <col min="6387" max="6387" width="50.28515625" style="9" customWidth="1"/>
    <col min="6388" max="6389" width="0" style="9" hidden="1" customWidth="1"/>
    <col min="6390" max="6390" width="20.7109375" style="9" customWidth="1"/>
    <col min="6391" max="6391" width="23.28515625" style="9" customWidth="1"/>
    <col min="6392" max="6401" width="23.28515625" style="9"/>
    <col min="6402" max="6402" width="13.140625" style="9" customWidth="1"/>
    <col min="6403" max="6403" width="58" style="9" customWidth="1"/>
    <col min="6404" max="6404" width="25" style="9" customWidth="1"/>
    <col min="6405" max="6405" width="20.7109375" style="9" customWidth="1"/>
    <col min="6406" max="6406" width="25" style="9" customWidth="1"/>
    <col min="6407" max="6641" width="9.140625" style="9" customWidth="1"/>
    <col min="6642" max="6642" width="6" style="9" customWidth="1"/>
    <col min="6643" max="6643" width="50.28515625" style="9" customWidth="1"/>
    <col min="6644" max="6645" width="0" style="9" hidden="1" customWidth="1"/>
    <col min="6646" max="6646" width="20.7109375" style="9" customWidth="1"/>
    <col min="6647" max="6647" width="23.28515625" style="9" customWidth="1"/>
    <col min="6648" max="6657" width="23.28515625" style="9"/>
    <col min="6658" max="6658" width="13.140625" style="9" customWidth="1"/>
    <col min="6659" max="6659" width="58" style="9" customWidth="1"/>
    <col min="6660" max="6660" width="25" style="9" customWidth="1"/>
    <col min="6661" max="6661" width="20.7109375" style="9" customWidth="1"/>
    <col min="6662" max="6662" width="25" style="9" customWidth="1"/>
    <col min="6663" max="6897" width="9.140625" style="9" customWidth="1"/>
    <col min="6898" max="6898" width="6" style="9" customWidth="1"/>
    <col min="6899" max="6899" width="50.28515625" style="9" customWidth="1"/>
    <col min="6900" max="6901" width="0" style="9" hidden="1" customWidth="1"/>
    <col min="6902" max="6902" width="20.7109375" style="9" customWidth="1"/>
    <col min="6903" max="6903" width="23.28515625" style="9" customWidth="1"/>
    <col min="6904" max="6913" width="23.28515625" style="9"/>
    <col min="6914" max="6914" width="13.140625" style="9" customWidth="1"/>
    <col min="6915" max="6915" width="58" style="9" customWidth="1"/>
    <col min="6916" max="6916" width="25" style="9" customWidth="1"/>
    <col min="6917" max="6917" width="20.7109375" style="9" customWidth="1"/>
    <col min="6918" max="6918" width="25" style="9" customWidth="1"/>
    <col min="6919" max="7153" width="9.140625" style="9" customWidth="1"/>
    <col min="7154" max="7154" width="6" style="9" customWidth="1"/>
    <col min="7155" max="7155" width="50.28515625" style="9" customWidth="1"/>
    <col min="7156" max="7157" width="0" style="9" hidden="1" customWidth="1"/>
    <col min="7158" max="7158" width="20.7109375" style="9" customWidth="1"/>
    <col min="7159" max="7159" width="23.28515625" style="9" customWidth="1"/>
    <col min="7160" max="7169" width="23.28515625" style="9"/>
    <col min="7170" max="7170" width="13.140625" style="9" customWidth="1"/>
    <col min="7171" max="7171" width="58" style="9" customWidth="1"/>
    <col min="7172" max="7172" width="25" style="9" customWidth="1"/>
    <col min="7173" max="7173" width="20.7109375" style="9" customWidth="1"/>
    <col min="7174" max="7174" width="25" style="9" customWidth="1"/>
    <col min="7175" max="7409" width="9.140625" style="9" customWidth="1"/>
    <col min="7410" max="7410" width="6" style="9" customWidth="1"/>
    <col min="7411" max="7411" width="50.28515625" style="9" customWidth="1"/>
    <col min="7412" max="7413" width="0" style="9" hidden="1" customWidth="1"/>
    <col min="7414" max="7414" width="20.7109375" style="9" customWidth="1"/>
    <col min="7415" max="7415" width="23.28515625" style="9" customWidth="1"/>
    <col min="7416" max="7425" width="23.28515625" style="9"/>
    <col min="7426" max="7426" width="13.140625" style="9" customWidth="1"/>
    <col min="7427" max="7427" width="58" style="9" customWidth="1"/>
    <col min="7428" max="7428" width="25" style="9" customWidth="1"/>
    <col min="7429" max="7429" width="20.7109375" style="9" customWidth="1"/>
    <col min="7430" max="7430" width="25" style="9" customWidth="1"/>
    <col min="7431" max="7665" width="9.140625" style="9" customWidth="1"/>
    <col min="7666" max="7666" width="6" style="9" customWidth="1"/>
    <col min="7667" max="7667" width="50.28515625" style="9" customWidth="1"/>
    <col min="7668" max="7669" width="0" style="9" hidden="1" customWidth="1"/>
    <col min="7670" max="7670" width="20.7109375" style="9" customWidth="1"/>
    <col min="7671" max="7671" width="23.28515625" style="9" customWidth="1"/>
    <col min="7672" max="7681" width="23.28515625" style="9"/>
    <col min="7682" max="7682" width="13.140625" style="9" customWidth="1"/>
    <col min="7683" max="7683" width="58" style="9" customWidth="1"/>
    <col min="7684" max="7684" width="25" style="9" customWidth="1"/>
    <col min="7685" max="7685" width="20.7109375" style="9" customWidth="1"/>
    <col min="7686" max="7686" width="25" style="9" customWidth="1"/>
    <col min="7687" max="7921" width="9.140625" style="9" customWidth="1"/>
    <col min="7922" max="7922" width="6" style="9" customWidth="1"/>
    <col min="7923" max="7923" width="50.28515625" style="9" customWidth="1"/>
    <col min="7924" max="7925" width="0" style="9" hidden="1" customWidth="1"/>
    <col min="7926" max="7926" width="20.7109375" style="9" customWidth="1"/>
    <col min="7927" max="7927" width="23.28515625" style="9" customWidth="1"/>
    <col min="7928" max="7937" width="23.28515625" style="9"/>
    <col min="7938" max="7938" width="13.140625" style="9" customWidth="1"/>
    <col min="7939" max="7939" width="58" style="9" customWidth="1"/>
    <col min="7940" max="7940" width="25" style="9" customWidth="1"/>
    <col min="7941" max="7941" width="20.7109375" style="9" customWidth="1"/>
    <col min="7942" max="7942" width="25" style="9" customWidth="1"/>
    <col min="7943" max="8177" width="9.140625" style="9" customWidth="1"/>
    <col min="8178" max="8178" width="6" style="9" customWidth="1"/>
    <col min="8179" max="8179" width="50.28515625" style="9" customWidth="1"/>
    <col min="8180" max="8181" width="0" style="9" hidden="1" customWidth="1"/>
    <col min="8182" max="8182" width="20.7109375" style="9" customWidth="1"/>
    <col min="8183" max="8183" width="23.28515625" style="9" customWidth="1"/>
    <col min="8184" max="8193" width="23.28515625" style="9"/>
    <col min="8194" max="8194" width="13.140625" style="9" customWidth="1"/>
    <col min="8195" max="8195" width="58" style="9" customWidth="1"/>
    <col min="8196" max="8196" width="25" style="9" customWidth="1"/>
    <col min="8197" max="8197" width="20.7109375" style="9" customWidth="1"/>
    <col min="8198" max="8198" width="25" style="9" customWidth="1"/>
    <col min="8199" max="8433" width="9.140625" style="9" customWidth="1"/>
    <col min="8434" max="8434" width="6" style="9" customWidth="1"/>
    <col min="8435" max="8435" width="50.28515625" style="9" customWidth="1"/>
    <col min="8436" max="8437" width="0" style="9" hidden="1" customWidth="1"/>
    <col min="8438" max="8438" width="20.7109375" style="9" customWidth="1"/>
    <col min="8439" max="8439" width="23.28515625" style="9" customWidth="1"/>
    <col min="8440" max="8449" width="23.28515625" style="9"/>
    <col min="8450" max="8450" width="13.140625" style="9" customWidth="1"/>
    <col min="8451" max="8451" width="58" style="9" customWidth="1"/>
    <col min="8452" max="8452" width="25" style="9" customWidth="1"/>
    <col min="8453" max="8453" width="20.7109375" style="9" customWidth="1"/>
    <col min="8454" max="8454" width="25" style="9" customWidth="1"/>
    <col min="8455" max="8689" width="9.140625" style="9" customWidth="1"/>
    <col min="8690" max="8690" width="6" style="9" customWidth="1"/>
    <col min="8691" max="8691" width="50.28515625" style="9" customWidth="1"/>
    <col min="8692" max="8693" width="0" style="9" hidden="1" customWidth="1"/>
    <col min="8694" max="8694" width="20.7109375" style="9" customWidth="1"/>
    <col min="8695" max="8695" width="23.28515625" style="9" customWidth="1"/>
    <col min="8696" max="8705" width="23.28515625" style="9"/>
    <col min="8706" max="8706" width="13.140625" style="9" customWidth="1"/>
    <col min="8707" max="8707" width="58" style="9" customWidth="1"/>
    <col min="8708" max="8708" width="25" style="9" customWidth="1"/>
    <col min="8709" max="8709" width="20.7109375" style="9" customWidth="1"/>
    <col min="8710" max="8710" width="25" style="9" customWidth="1"/>
    <col min="8711" max="8945" width="9.140625" style="9" customWidth="1"/>
    <col min="8946" max="8946" width="6" style="9" customWidth="1"/>
    <col min="8947" max="8947" width="50.28515625" style="9" customWidth="1"/>
    <col min="8948" max="8949" width="0" style="9" hidden="1" customWidth="1"/>
    <col min="8950" max="8950" width="20.7109375" style="9" customWidth="1"/>
    <col min="8951" max="8951" width="23.28515625" style="9" customWidth="1"/>
    <col min="8952" max="8961" width="23.28515625" style="9"/>
    <col min="8962" max="8962" width="13.140625" style="9" customWidth="1"/>
    <col min="8963" max="8963" width="58" style="9" customWidth="1"/>
    <col min="8964" max="8964" width="25" style="9" customWidth="1"/>
    <col min="8965" max="8965" width="20.7109375" style="9" customWidth="1"/>
    <col min="8966" max="8966" width="25" style="9" customWidth="1"/>
    <col min="8967" max="9201" width="9.140625" style="9" customWidth="1"/>
    <col min="9202" max="9202" width="6" style="9" customWidth="1"/>
    <col min="9203" max="9203" width="50.28515625" style="9" customWidth="1"/>
    <col min="9204" max="9205" width="0" style="9" hidden="1" customWidth="1"/>
    <col min="9206" max="9206" width="20.7109375" style="9" customWidth="1"/>
    <col min="9207" max="9207" width="23.28515625" style="9" customWidth="1"/>
    <col min="9208" max="9217" width="23.28515625" style="9"/>
    <col min="9218" max="9218" width="13.140625" style="9" customWidth="1"/>
    <col min="9219" max="9219" width="58" style="9" customWidth="1"/>
    <col min="9220" max="9220" width="25" style="9" customWidth="1"/>
    <col min="9221" max="9221" width="20.7109375" style="9" customWidth="1"/>
    <col min="9222" max="9222" width="25" style="9" customWidth="1"/>
    <col min="9223" max="9457" width="9.140625" style="9" customWidth="1"/>
    <col min="9458" max="9458" width="6" style="9" customWidth="1"/>
    <col min="9459" max="9459" width="50.28515625" style="9" customWidth="1"/>
    <col min="9460" max="9461" width="0" style="9" hidden="1" customWidth="1"/>
    <col min="9462" max="9462" width="20.7109375" style="9" customWidth="1"/>
    <col min="9463" max="9463" width="23.28515625" style="9" customWidth="1"/>
    <col min="9464" max="9473" width="23.28515625" style="9"/>
    <col min="9474" max="9474" width="13.140625" style="9" customWidth="1"/>
    <col min="9475" max="9475" width="58" style="9" customWidth="1"/>
    <col min="9476" max="9476" width="25" style="9" customWidth="1"/>
    <col min="9477" max="9477" width="20.7109375" style="9" customWidth="1"/>
    <col min="9478" max="9478" width="25" style="9" customWidth="1"/>
    <col min="9479" max="9713" width="9.140625" style="9" customWidth="1"/>
    <col min="9714" max="9714" width="6" style="9" customWidth="1"/>
    <col min="9715" max="9715" width="50.28515625" style="9" customWidth="1"/>
    <col min="9716" max="9717" width="0" style="9" hidden="1" customWidth="1"/>
    <col min="9718" max="9718" width="20.7109375" style="9" customWidth="1"/>
    <col min="9719" max="9719" width="23.28515625" style="9" customWidth="1"/>
    <col min="9720" max="9729" width="23.28515625" style="9"/>
    <col min="9730" max="9730" width="13.140625" style="9" customWidth="1"/>
    <col min="9731" max="9731" width="58" style="9" customWidth="1"/>
    <col min="9732" max="9732" width="25" style="9" customWidth="1"/>
    <col min="9733" max="9733" width="20.7109375" style="9" customWidth="1"/>
    <col min="9734" max="9734" width="25" style="9" customWidth="1"/>
    <col min="9735" max="9969" width="9.140625" style="9" customWidth="1"/>
    <col min="9970" max="9970" width="6" style="9" customWidth="1"/>
    <col min="9971" max="9971" width="50.28515625" style="9" customWidth="1"/>
    <col min="9972" max="9973" width="0" style="9" hidden="1" customWidth="1"/>
    <col min="9974" max="9974" width="20.7109375" style="9" customWidth="1"/>
    <col min="9975" max="9975" width="23.28515625" style="9" customWidth="1"/>
    <col min="9976" max="9985" width="23.28515625" style="9"/>
    <col min="9986" max="9986" width="13.140625" style="9" customWidth="1"/>
    <col min="9987" max="9987" width="58" style="9" customWidth="1"/>
    <col min="9988" max="9988" width="25" style="9" customWidth="1"/>
    <col min="9989" max="9989" width="20.7109375" style="9" customWidth="1"/>
    <col min="9990" max="9990" width="25" style="9" customWidth="1"/>
    <col min="9991" max="10225" width="9.140625" style="9" customWidth="1"/>
    <col min="10226" max="10226" width="6" style="9" customWidth="1"/>
    <col min="10227" max="10227" width="50.28515625" style="9" customWidth="1"/>
    <col min="10228" max="10229" width="0" style="9" hidden="1" customWidth="1"/>
    <col min="10230" max="10230" width="20.7109375" style="9" customWidth="1"/>
    <col min="10231" max="10231" width="23.28515625" style="9" customWidth="1"/>
    <col min="10232" max="10241" width="23.28515625" style="9"/>
    <col min="10242" max="10242" width="13.140625" style="9" customWidth="1"/>
    <col min="10243" max="10243" width="58" style="9" customWidth="1"/>
    <col min="10244" max="10244" width="25" style="9" customWidth="1"/>
    <col min="10245" max="10245" width="20.7109375" style="9" customWidth="1"/>
    <col min="10246" max="10246" width="25" style="9" customWidth="1"/>
    <col min="10247" max="10481" width="9.140625" style="9" customWidth="1"/>
    <col min="10482" max="10482" width="6" style="9" customWidth="1"/>
    <col min="10483" max="10483" width="50.28515625" style="9" customWidth="1"/>
    <col min="10484" max="10485" width="0" style="9" hidden="1" customWidth="1"/>
    <col min="10486" max="10486" width="20.7109375" style="9" customWidth="1"/>
    <col min="10487" max="10487" width="23.28515625" style="9" customWidth="1"/>
    <col min="10488" max="10497" width="23.28515625" style="9"/>
    <col min="10498" max="10498" width="13.140625" style="9" customWidth="1"/>
    <col min="10499" max="10499" width="58" style="9" customWidth="1"/>
    <col min="10500" max="10500" width="25" style="9" customWidth="1"/>
    <col min="10501" max="10501" width="20.7109375" style="9" customWidth="1"/>
    <col min="10502" max="10502" width="25" style="9" customWidth="1"/>
    <col min="10503" max="10737" width="9.140625" style="9" customWidth="1"/>
    <col min="10738" max="10738" width="6" style="9" customWidth="1"/>
    <col min="10739" max="10739" width="50.28515625" style="9" customWidth="1"/>
    <col min="10740" max="10741" width="0" style="9" hidden="1" customWidth="1"/>
    <col min="10742" max="10742" width="20.7109375" style="9" customWidth="1"/>
    <col min="10743" max="10743" width="23.28515625" style="9" customWidth="1"/>
    <col min="10744" max="10753" width="23.28515625" style="9"/>
    <col min="10754" max="10754" width="13.140625" style="9" customWidth="1"/>
    <col min="10755" max="10755" width="58" style="9" customWidth="1"/>
    <col min="10756" max="10756" width="25" style="9" customWidth="1"/>
    <col min="10757" max="10757" width="20.7109375" style="9" customWidth="1"/>
    <col min="10758" max="10758" width="25" style="9" customWidth="1"/>
    <col min="10759" max="10993" width="9.140625" style="9" customWidth="1"/>
    <col min="10994" max="10994" width="6" style="9" customWidth="1"/>
    <col min="10995" max="10995" width="50.28515625" style="9" customWidth="1"/>
    <col min="10996" max="10997" width="0" style="9" hidden="1" customWidth="1"/>
    <col min="10998" max="10998" width="20.7109375" style="9" customWidth="1"/>
    <col min="10999" max="10999" width="23.28515625" style="9" customWidth="1"/>
    <col min="11000" max="11009" width="23.28515625" style="9"/>
    <col min="11010" max="11010" width="13.140625" style="9" customWidth="1"/>
    <col min="11011" max="11011" width="58" style="9" customWidth="1"/>
    <col min="11012" max="11012" width="25" style="9" customWidth="1"/>
    <col min="11013" max="11013" width="20.7109375" style="9" customWidth="1"/>
    <col min="11014" max="11014" width="25" style="9" customWidth="1"/>
    <col min="11015" max="11249" width="9.140625" style="9" customWidth="1"/>
    <col min="11250" max="11250" width="6" style="9" customWidth="1"/>
    <col min="11251" max="11251" width="50.28515625" style="9" customWidth="1"/>
    <col min="11252" max="11253" width="0" style="9" hidden="1" customWidth="1"/>
    <col min="11254" max="11254" width="20.7109375" style="9" customWidth="1"/>
    <col min="11255" max="11255" width="23.28515625" style="9" customWidth="1"/>
    <col min="11256" max="11265" width="23.28515625" style="9"/>
    <col min="11266" max="11266" width="13.140625" style="9" customWidth="1"/>
    <col min="11267" max="11267" width="58" style="9" customWidth="1"/>
    <col min="11268" max="11268" width="25" style="9" customWidth="1"/>
    <col min="11269" max="11269" width="20.7109375" style="9" customWidth="1"/>
    <col min="11270" max="11270" width="25" style="9" customWidth="1"/>
    <col min="11271" max="11505" width="9.140625" style="9" customWidth="1"/>
    <col min="11506" max="11506" width="6" style="9" customWidth="1"/>
    <col min="11507" max="11507" width="50.28515625" style="9" customWidth="1"/>
    <col min="11508" max="11509" width="0" style="9" hidden="1" customWidth="1"/>
    <col min="11510" max="11510" width="20.7109375" style="9" customWidth="1"/>
    <col min="11511" max="11511" width="23.28515625" style="9" customWidth="1"/>
    <col min="11512" max="11521" width="23.28515625" style="9"/>
    <col min="11522" max="11522" width="13.140625" style="9" customWidth="1"/>
    <col min="11523" max="11523" width="58" style="9" customWidth="1"/>
    <col min="11524" max="11524" width="25" style="9" customWidth="1"/>
    <col min="11525" max="11525" width="20.7109375" style="9" customWidth="1"/>
    <col min="11526" max="11526" width="25" style="9" customWidth="1"/>
    <col min="11527" max="11761" width="9.140625" style="9" customWidth="1"/>
    <col min="11762" max="11762" width="6" style="9" customWidth="1"/>
    <col min="11763" max="11763" width="50.28515625" style="9" customWidth="1"/>
    <col min="11764" max="11765" width="0" style="9" hidden="1" customWidth="1"/>
    <col min="11766" max="11766" width="20.7109375" style="9" customWidth="1"/>
    <col min="11767" max="11767" width="23.28515625" style="9" customWidth="1"/>
    <col min="11768" max="11777" width="23.28515625" style="9"/>
    <col min="11778" max="11778" width="13.140625" style="9" customWidth="1"/>
    <col min="11779" max="11779" width="58" style="9" customWidth="1"/>
    <col min="11780" max="11780" width="25" style="9" customWidth="1"/>
    <col min="11781" max="11781" width="20.7109375" style="9" customWidth="1"/>
    <col min="11782" max="11782" width="25" style="9" customWidth="1"/>
    <col min="11783" max="12017" width="9.140625" style="9" customWidth="1"/>
    <col min="12018" max="12018" width="6" style="9" customWidth="1"/>
    <col min="12019" max="12019" width="50.28515625" style="9" customWidth="1"/>
    <col min="12020" max="12021" width="0" style="9" hidden="1" customWidth="1"/>
    <col min="12022" max="12022" width="20.7109375" style="9" customWidth="1"/>
    <col min="12023" max="12023" width="23.28515625" style="9" customWidth="1"/>
    <col min="12024" max="12033" width="23.28515625" style="9"/>
    <col min="12034" max="12034" width="13.140625" style="9" customWidth="1"/>
    <col min="12035" max="12035" width="58" style="9" customWidth="1"/>
    <col min="12036" max="12036" width="25" style="9" customWidth="1"/>
    <col min="12037" max="12037" width="20.7109375" style="9" customWidth="1"/>
    <col min="12038" max="12038" width="25" style="9" customWidth="1"/>
    <col min="12039" max="12273" width="9.140625" style="9" customWidth="1"/>
    <col min="12274" max="12274" width="6" style="9" customWidth="1"/>
    <col min="12275" max="12275" width="50.28515625" style="9" customWidth="1"/>
    <col min="12276" max="12277" width="0" style="9" hidden="1" customWidth="1"/>
    <col min="12278" max="12278" width="20.7109375" style="9" customWidth="1"/>
    <col min="12279" max="12279" width="23.28515625" style="9" customWidth="1"/>
    <col min="12280" max="12289" width="23.28515625" style="9"/>
    <col min="12290" max="12290" width="13.140625" style="9" customWidth="1"/>
    <col min="12291" max="12291" width="58" style="9" customWidth="1"/>
    <col min="12292" max="12292" width="25" style="9" customWidth="1"/>
    <col min="12293" max="12293" width="20.7109375" style="9" customWidth="1"/>
    <col min="12294" max="12294" width="25" style="9" customWidth="1"/>
    <col min="12295" max="12529" width="9.140625" style="9" customWidth="1"/>
    <col min="12530" max="12530" width="6" style="9" customWidth="1"/>
    <col min="12531" max="12531" width="50.28515625" style="9" customWidth="1"/>
    <col min="12532" max="12533" width="0" style="9" hidden="1" customWidth="1"/>
    <col min="12534" max="12534" width="20.7109375" style="9" customWidth="1"/>
    <col min="12535" max="12535" width="23.28515625" style="9" customWidth="1"/>
    <col min="12536" max="12545" width="23.28515625" style="9"/>
    <col min="12546" max="12546" width="13.140625" style="9" customWidth="1"/>
    <col min="12547" max="12547" width="58" style="9" customWidth="1"/>
    <col min="12548" max="12548" width="25" style="9" customWidth="1"/>
    <col min="12549" max="12549" width="20.7109375" style="9" customWidth="1"/>
    <col min="12550" max="12550" width="25" style="9" customWidth="1"/>
    <col min="12551" max="12785" width="9.140625" style="9" customWidth="1"/>
    <col min="12786" max="12786" width="6" style="9" customWidth="1"/>
    <col min="12787" max="12787" width="50.28515625" style="9" customWidth="1"/>
    <col min="12788" max="12789" width="0" style="9" hidden="1" customWidth="1"/>
    <col min="12790" max="12790" width="20.7109375" style="9" customWidth="1"/>
    <col min="12791" max="12791" width="23.28515625" style="9" customWidth="1"/>
    <col min="12792" max="12801" width="23.28515625" style="9"/>
    <col min="12802" max="12802" width="13.140625" style="9" customWidth="1"/>
    <col min="12803" max="12803" width="58" style="9" customWidth="1"/>
    <col min="12804" max="12804" width="25" style="9" customWidth="1"/>
    <col min="12805" max="12805" width="20.7109375" style="9" customWidth="1"/>
    <col min="12806" max="12806" width="25" style="9" customWidth="1"/>
    <col min="12807" max="13041" width="9.140625" style="9" customWidth="1"/>
    <col min="13042" max="13042" width="6" style="9" customWidth="1"/>
    <col min="13043" max="13043" width="50.28515625" style="9" customWidth="1"/>
    <col min="13044" max="13045" width="0" style="9" hidden="1" customWidth="1"/>
    <col min="13046" max="13046" width="20.7109375" style="9" customWidth="1"/>
    <col min="13047" max="13047" width="23.28515625" style="9" customWidth="1"/>
    <col min="13048" max="13057" width="23.28515625" style="9"/>
    <col min="13058" max="13058" width="13.140625" style="9" customWidth="1"/>
    <col min="13059" max="13059" width="58" style="9" customWidth="1"/>
    <col min="13060" max="13060" width="25" style="9" customWidth="1"/>
    <col min="13061" max="13061" width="20.7109375" style="9" customWidth="1"/>
    <col min="13062" max="13062" width="25" style="9" customWidth="1"/>
    <col min="13063" max="13297" width="9.140625" style="9" customWidth="1"/>
    <col min="13298" max="13298" width="6" style="9" customWidth="1"/>
    <col min="13299" max="13299" width="50.28515625" style="9" customWidth="1"/>
    <col min="13300" max="13301" width="0" style="9" hidden="1" customWidth="1"/>
    <col min="13302" max="13302" width="20.7109375" style="9" customWidth="1"/>
    <col min="13303" max="13303" width="23.28515625" style="9" customWidth="1"/>
    <col min="13304" max="13313" width="23.28515625" style="9"/>
    <col min="13314" max="13314" width="13.140625" style="9" customWidth="1"/>
    <col min="13315" max="13315" width="58" style="9" customWidth="1"/>
    <col min="13316" max="13316" width="25" style="9" customWidth="1"/>
    <col min="13317" max="13317" width="20.7109375" style="9" customWidth="1"/>
    <col min="13318" max="13318" width="25" style="9" customWidth="1"/>
    <col min="13319" max="13553" width="9.140625" style="9" customWidth="1"/>
    <col min="13554" max="13554" width="6" style="9" customWidth="1"/>
    <col min="13555" max="13555" width="50.28515625" style="9" customWidth="1"/>
    <col min="13556" max="13557" width="0" style="9" hidden="1" customWidth="1"/>
    <col min="13558" max="13558" width="20.7109375" style="9" customWidth="1"/>
    <col min="13559" max="13559" width="23.28515625" style="9" customWidth="1"/>
    <col min="13560" max="13569" width="23.28515625" style="9"/>
    <col min="13570" max="13570" width="13.140625" style="9" customWidth="1"/>
    <col min="13571" max="13571" width="58" style="9" customWidth="1"/>
    <col min="13572" max="13572" width="25" style="9" customWidth="1"/>
    <col min="13573" max="13573" width="20.7109375" style="9" customWidth="1"/>
    <col min="13574" max="13574" width="25" style="9" customWidth="1"/>
    <col min="13575" max="13809" width="9.140625" style="9" customWidth="1"/>
    <col min="13810" max="13810" width="6" style="9" customWidth="1"/>
    <col min="13811" max="13811" width="50.28515625" style="9" customWidth="1"/>
    <col min="13812" max="13813" width="0" style="9" hidden="1" customWidth="1"/>
    <col min="13814" max="13814" width="20.7109375" style="9" customWidth="1"/>
    <col min="13815" max="13815" width="23.28515625" style="9" customWidth="1"/>
    <col min="13816" max="13825" width="23.28515625" style="9"/>
    <col min="13826" max="13826" width="13.140625" style="9" customWidth="1"/>
    <col min="13827" max="13827" width="58" style="9" customWidth="1"/>
    <col min="13828" max="13828" width="25" style="9" customWidth="1"/>
    <col min="13829" max="13829" width="20.7109375" style="9" customWidth="1"/>
    <col min="13830" max="13830" width="25" style="9" customWidth="1"/>
    <col min="13831" max="14065" width="9.140625" style="9" customWidth="1"/>
    <col min="14066" max="14066" width="6" style="9" customWidth="1"/>
    <col min="14067" max="14067" width="50.28515625" style="9" customWidth="1"/>
    <col min="14068" max="14069" width="0" style="9" hidden="1" customWidth="1"/>
    <col min="14070" max="14070" width="20.7109375" style="9" customWidth="1"/>
    <col min="14071" max="14071" width="23.28515625" style="9" customWidth="1"/>
    <col min="14072" max="14081" width="23.28515625" style="9"/>
    <col min="14082" max="14082" width="13.140625" style="9" customWidth="1"/>
    <col min="14083" max="14083" width="58" style="9" customWidth="1"/>
    <col min="14084" max="14084" width="25" style="9" customWidth="1"/>
    <col min="14085" max="14085" width="20.7109375" style="9" customWidth="1"/>
    <col min="14086" max="14086" width="25" style="9" customWidth="1"/>
    <col min="14087" max="14321" width="9.140625" style="9" customWidth="1"/>
    <col min="14322" max="14322" width="6" style="9" customWidth="1"/>
    <col min="14323" max="14323" width="50.28515625" style="9" customWidth="1"/>
    <col min="14324" max="14325" width="0" style="9" hidden="1" customWidth="1"/>
    <col min="14326" max="14326" width="20.7109375" style="9" customWidth="1"/>
    <col min="14327" max="14327" width="23.28515625" style="9" customWidth="1"/>
    <col min="14328" max="14337" width="23.28515625" style="9"/>
    <col min="14338" max="14338" width="13.140625" style="9" customWidth="1"/>
    <col min="14339" max="14339" width="58" style="9" customWidth="1"/>
    <col min="14340" max="14340" width="25" style="9" customWidth="1"/>
    <col min="14341" max="14341" width="20.7109375" style="9" customWidth="1"/>
    <col min="14342" max="14342" width="25" style="9" customWidth="1"/>
    <col min="14343" max="14577" width="9.140625" style="9" customWidth="1"/>
    <col min="14578" max="14578" width="6" style="9" customWidth="1"/>
    <col min="14579" max="14579" width="50.28515625" style="9" customWidth="1"/>
    <col min="14580" max="14581" width="0" style="9" hidden="1" customWidth="1"/>
    <col min="14582" max="14582" width="20.7109375" style="9" customWidth="1"/>
    <col min="14583" max="14583" width="23.28515625" style="9" customWidth="1"/>
    <col min="14584" max="14593" width="23.28515625" style="9"/>
    <col min="14594" max="14594" width="13.140625" style="9" customWidth="1"/>
    <col min="14595" max="14595" width="58" style="9" customWidth="1"/>
    <col min="14596" max="14596" width="25" style="9" customWidth="1"/>
    <col min="14597" max="14597" width="20.7109375" style="9" customWidth="1"/>
    <col min="14598" max="14598" width="25" style="9" customWidth="1"/>
    <col min="14599" max="14833" width="9.140625" style="9" customWidth="1"/>
    <col min="14834" max="14834" width="6" style="9" customWidth="1"/>
    <col min="14835" max="14835" width="50.28515625" style="9" customWidth="1"/>
    <col min="14836" max="14837" width="0" style="9" hidden="1" customWidth="1"/>
    <col min="14838" max="14838" width="20.7109375" style="9" customWidth="1"/>
    <col min="14839" max="14839" width="23.28515625" style="9" customWidth="1"/>
    <col min="14840" max="14849" width="23.28515625" style="9"/>
    <col min="14850" max="14850" width="13.140625" style="9" customWidth="1"/>
    <col min="14851" max="14851" width="58" style="9" customWidth="1"/>
    <col min="14852" max="14852" width="25" style="9" customWidth="1"/>
    <col min="14853" max="14853" width="20.7109375" style="9" customWidth="1"/>
    <col min="14854" max="14854" width="25" style="9" customWidth="1"/>
    <col min="14855" max="15089" width="9.140625" style="9" customWidth="1"/>
    <col min="15090" max="15090" width="6" style="9" customWidth="1"/>
    <col min="15091" max="15091" width="50.28515625" style="9" customWidth="1"/>
    <col min="15092" max="15093" width="0" style="9" hidden="1" customWidth="1"/>
    <col min="15094" max="15094" width="20.7109375" style="9" customWidth="1"/>
    <col min="15095" max="15095" width="23.28515625" style="9" customWidth="1"/>
    <col min="15096" max="15105" width="23.28515625" style="9"/>
    <col min="15106" max="15106" width="13.140625" style="9" customWidth="1"/>
    <col min="15107" max="15107" width="58" style="9" customWidth="1"/>
    <col min="15108" max="15108" width="25" style="9" customWidth="1"/>
    <col min="15109" max="15109" width="20.7109375" style="9" customWidth="1"/>
    <col min="15110" max="15110" width="25" style="9" customWidth="1"/>
    <col min="15111" max="15345" width="9.140625" style="9" customWidth="1"/>
    <col min="15346" max="15346" width="6" style="9" customWidth="1"/>
    <col min="15347" max="15347" width="50.28515625" style="9" customWidth="1"/>
    <col min="15348" max="15349" width="0" style="9" hidden="1" customWidth="1"/>
    <col min="15350" max="15350" width="20.7109375" style="9" customWidth="1"/>
    <col min="15351" max="15351" width="23.28515625" style="9" customWidth="1"/>
    <col min="15352" max="15361" width="23.28515625" style="9"/>
    <col min="15362" max="15362" width="13.140625" style="9" customWidth="1"/>
    <col min="15363" max="15363" width="58" style="9" customWidth="1"/>
    <col min="15364" max="15364" width="25" style="9" customWidth="1"/>
    <col min="15365" max="15365" width="20.7109375" style="9" customWidth="1"/>
    <col min="15366" max="15366" width="25" style="9" customWidth="1"/>
    <col min="15367" max="15601" width="9.140625" style="9" customWidth="1"/>
    <col min="15602" max="15602" width="6" style="9" customWidth="1"/>
    <col min="15603" max="15603" width="50.28515625" style="9" customWidth="1"/>
    <col min="15604" max="15605" width="0" style="9" hidden="1" customWidth="1"/>
    <col min="15606" max="15606" width="20.7109375" style="9" customWidth="1"/>
    <col min="15607" max="15607" width="23.28515625" style="9" customWidth="1"/>
    <col min="15608" max="15617" width="23.28515625" style="9"/>
    <col min="15618" max="15618" width="13.140625" style="9" customWidth="1"/>
    <col min="15619" max="15619" width="58" style="9" customWidth="1"/>
    <col min="15620" max="15620" width="25" style="9" customWidth="1"/>
    <col min="15621" max="15621" width="20.7109375" style="9" customWidth="1"/>
    <col min="15622" max="15622" width="25" style="9" customWidth="1"/>
    <col min="15623" max="15857" width="9.140625" style="9" customWidth="1"/>
    <col min="15858" max="15858" width="6" style="9" customWidth="1"/>
    <col min="15859" max="15859" width="50.28515625" style="9" customWidth="1"/>
    <col min="15860" max="15861" width="0" style="9" hidden="1" customWidth="1"/>
    <col min="15862" max="15862" width="20.7109375" style="9" customWidth="1"/>
    <col min="15863" max="15863" width="23.28515625" style="9" customWidth="1"/>
    <col min="15864" max="15873" width="23.28515625" style="9"/>
    <col min="15874" max="15874" width="13.140625" style="9" customWidth="1"/>
    <col min="15875" max="15875" width="58" style="9" customWidth="1"/>
    <col min="15876" max="15876" width="25" style="9" customWidth="1"/>
    <col min="15877" max="15877" width="20.7109375" style="9" customWidth="1"/>
    <col min="15878" max="15878" width="25" style="9" customWidth="1"/>
    <col min="15879" max="16113" width="9.140625" style="9" customWidth="1"/>
    <col min="16114" max="16114" width="6" style="9" customWidth="1"/>
    <col min="16115" max="16115" width="50.28515625" style="9" customWidth="1"/>
    <col min="16116" max="16117" width="0" style="9" hidden="1" customWidth="1"/>
    <col min="16118" max="16118" width="20.7109375" style="9" customWidth="1"/>
    <col min="16119" max="16119" width="23.28515625" style="9" customWidth="1"/>
    <col min="16120" max="16129" width="23.28515625" style="9"/>
    <col min="16130" max="16130" width="13.140625" style="9" customWidth="1"/>
    <col min="16131" max="16131" width="58" style="9" customWidth="1"/>
    <col min="16132" max="16132" width="25" style="9" customWidth="1"/>
    <col min="16133" max="16133" width="20.7109375" style="9" customWidth="1"/>
    <col min="16134" max="16134" width="25" style="9" customWidth="1"/>
    <col min="16135" max="16369" width="9.140625" style="9" customWidth="1"/>
    <col min="16370" max="16370" width="6" style="9" customWidth="1"/>
    <col min="16371" max="16371" width="50.28515625" style="9" customWidth="1"/>
    <col min="16372" max="16373" width="0" style="9" hidden="1" customWidth="1"/>
    <col min="16374" max="16374" width="20.7109375" style="9" customWidth="1"/>
    <col min="16375" max="16375" width="23.28515625" style="9" customWidth="1"/>
    <col min="16376" max="16384" width="23.28515625" style="9"/>
  </cols>
  <sheetData>
    <row r="1" spans="1:247" ht="15.75" hidden="1">
      <c r="A1" s="512"/>
      <c r="B1" s="512"/>
      <c r="C1" s="512"/>
      <c r="D1" s="512"/>
      <c r="E1" s="512"/>
      <c r="F1" s="512"/>
      <c r="G1" s="512"/>
      <c r="H1" s="418"/>
      <c r="I1" s="8"/>
      <c r="J1" s="8"/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</row>
    <row r="2" spans="1:247" ht="15.75" hidden="1">
      <c r="A2" s="512"/>
      <c r="B2" s="512"/>
      <c r="C2" s="512"/>
      <c r="D2" s="512"/>
      <c r="E2" s="512"/>
      <c r="F2" s="512"/>
      <c r="G2" s="512"/>
      <c r="H2" s="418"/>
      <c r="I2" s="8"/>
      <c r="J2" s="8"/>
      <c r="K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</row>
    <row r="3" spans="1:247" ht="15.75">
      <c r="B3" s="491" t="s">
        <v>8</v>
      </c>
      <c r="C3" s="536" t="s">
        <v>445</v>
      </c>
      <c r="D3" s="536"/>
      <c r="E3" s="536"/>
      <c r="F3" s="536"/>
      <c r="G3" s="536"/>
      <c r="I3" s="13" t="s">
        <v>446</v>
      </c>
      <c r="J3" s="13" t="s">
        <v>447</v>
      </c>
      <c r="K3" s="537" t="s">
        <v>448</v>
      </c>
      <c r="L3" s="537"/>
      <c r="M3" s="537"/>
      <c r="N3" s="537"/>
    </row>
    <row r="4" spans="1:247" ht="21">
      <c r="A4" s="14" t="s">
        <v>106</v>
      </c>
      <c r="B4" s="15" t="s">
        <v>107</v>
      </c>
      <c r="C4" s="16">
        <v>2008</v>
      </c>
      <c r="D4" s="16">
        <v>2009</v>
      </c>
      <c r="E4" s="17">
        <v>2010</v>
      </c>
      <c r="F4" s="17">
        <v>2011</v>
      </c>
      <c r="G4" s="17">
        <v>2012</v>
      </c>
      <c r="H4" s="18" t="s">
        <v>108</v>
      </c>
      <c r="I4" s="17">
        <v>2013</v>
      </c>
      <c r="J4" s="17">
        <v>2014</v>
      </c>
      <c r="K4" s="17">
        <v>2015</v>
      </c>
      <c r="L4" s="17">
        <v>2016</v>
      </c>
      <c r="M4" s="17">
        <v>2017</v>
      </c>
      <c r="N4" s="17">
        <v>2018</v>
      </c>
      <c r="O4" s="8" t="s"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9"/>
    </row>
    <row r="5" spans="1:247" ht="15.75">
      <c r="A5" s="19" t="s">
        <v>109</v>
      </c>
      <c r="B5" s="20" t="s">
        <v>110</v>
      </c>
      <c r="C5" s="21">
        <f>C6+C11+C16</f>
        <v>576614217128</v>
      </c>
      <c r="D5" s="21">
        <f t="shared" ref="D5:G5" si="0">D6+D11+D16</f>
        <v>623122779590</v>
      </c>
      <c r="E5" s="21">
        <f t="shared" si="0"/>
        <v>675659734845</v>
      </c>
      <c r="F5" s="21">
        <f t="shared" si="0"/>
        <v>823479890034</v>
      </c>
      <c r="G5" s="21">
        <f t="shared" si="0"/>
        <v>966815573681</v>
      </c>
      <c r="H5" s="17">
        <v>13.94</v>
      </c>
      <c r="I5" s="21">
        <f t="shared" ref="I5:N5" si="1">I6+I11+I16</f>
        <v>1039172438000</v>
      </c>
      <c r="J5" s="21">
        <f t="shared" si="1"/>
        <v>1133980164950</v>
      </c>
      <c r="K5" s="21">
        <f t="shared" si="1"/>
        <v>1248007530999.5481</v>
      </c>
      <c r="L5" s="21">
        <f t="shared" si="1"/>
        <v>1317992595000.4731</v>
      </c>
      <c r="M5" s="21">
        <f t="shared" si="1"/>
        <v>1383602906000.0952</v>
      </c>
      <c r="N5" s="21">
        <f t="shared" si="1"/>
        <v>1464813082250.4517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9"/>
    </row>
    <row r="6" spans="1:247" ht="15.75">
      <c r="A6" s="19" t="s">
        <v>111</v>
      </c>
      <c r="B6" s="20" t="s">
        <v>112</v>
      </c>
      <c r="C6" s="22">
        <f>SUM(C7:C10)</f>
        <v>37923898939</v>
      </c>
      <c r="D6" s="22">
        <f t="shared" ref="D6:G6" si="2">SUM(D7:D10)</f>
        <v>47327328141</v>
      </c>
      <c r="E6" s="22">
        <f t="shared" si="2"/>
        <v>55211017361</v>
      </c>
      <c r="F6" s="22">
        <f t="shared" si="2"/>
        <v>63343494510</v>
      </c>
      <c r="G6" s="22">
        <f t="shared" si="2"/>
        <v>78514689212</v>
      </c>
      <c r="H6" s="17">
        <v>20.03</v>
      </c>
      <c r="I6" s="22">
        <f t="shared" ref="I6:N6" si="3">SUM(I7:I10)</f>
        <v>91966542000</v>
      </c>
      <c r="J6" s="22">
        <f t="shared" si="3"/>
        <v>98995824950</v>
      </c>
      <c r="K6" s="22">
        <f t="shared" si="3"/>
        <v>121900487000</v>
      </c>
      <c r="L6" s="22">
        <f t="shared" si="3"/>
        <v>127171160000</v>
      </c>
      <c r="M6" s="22">
        <f t="shared" si="3"/>
        <v>115600114000</v>
      </c>
      <c r="N6" s="22">
        <f t="shared" si="3"/>
        <v>121035621250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9"/>
    </row>
    <row r="7" spans="1:247" ht="15.75">
      <c r="A7" s="23" t="s">
        <v>113</v>
      </c>
      <c r="B7" s="24" t="s">
        <v>114</v>
      </c>
      <c r="C7" s="25">
        <v>5819499860</v>
      </c>
      <c r="D7" s="25">
        <v>6194993566</v>
      </c>
      <c r="E7" s="26">
        <v>7389439664</v>
      </c>
      <c r="F7" s="26">
        <v>11212597968</v>
      </c>
      <c r="G7" s="25">
        <v>11470230704</v>
      </c>
      <c r="H7" s="27">
        <v>19.940000000000001</v>
      </c>
      <c r="I7" s="25">
        <v>23826100000</v>
      </c>
      <c r="J7" s="25">
        <v>23867000000</v>
      </c>
      <c r="K7" s="25">
        <f>+'Pro-Pdpt'!M7</f>
        <v>26769671000</v>
      </c>
      <c r="L7" s="25">
        <f>+'Pro-Pdpt'!N7</f>
        <v>27849314000</v>
      </c>
      <c r="M7" s="25">
        <f>+'Pro-Pdpt'!O7</f>
        <v>30234958000</v>
      </c>
      <c r="N7" s="25">
        <f>+'Pro-Pdpt'!P7</f>
        <v>31818635000</v>
      </c>
      <c r="IM7" s="9"/>
    </row>
    <row r="8" spans="1:247" ht="15.75">
      <c r="A8" s="28" t="s">
        <v>115</v>
      </c>
      <c r="B8" s="29" t="s">
        <v>116</v>
      </c>
      <c r="C8" s="30">
        <v>20067480541</v>
      </c>
      <c r="D8" s="30">
        <v>25974545346</v>
      </c>
      <c r="E8" s="31">
        <v>33365149779</v>
      </c>
      <c r="F8" s="31">
        <v>37984477775</v>
      </c>
      <c r="G8" s="30">
        <v>14038793022</v>
      </c>
      <c r="H8" s="32">
        <v>2.17</v>
      </c>
      <c r="I8" s="30">
        <v>14656229000</v>
      </c>
      <c r="J8" s="30">
        <v>24845904950</v>
      </c>
      <c r="K8" s="25">
        <f>+'Pro-Pdpt'!M8</f>
        <v>25077816000</v>
      </c>
      <c r="L8" s="25">
        <f>+'Pro-Pdpt'!N8</f>
        <v>25391186000</v>
      </c>
      <c r="M8" s="25">
        <f>+'Pro-Pdpt'!O8</f>
        <v>25752418000</v>
      </c>
      <c r="N8" s="25">
        <f>+'Pro-Pdpt'!P8</f>
        <v>26097229250</v>
      </c>
      <c r="IM8" s="9"/>
    </row>
    <row r="9" spans="1:247" ht="21">
      <c r="A9" s="28" t="s">
        <v>117</v>
      </c>
      <c r="B9" s="29" t="s">
        <v>118</v>
      </c>
      <c r="C9" s="30">
        <v>3082405844</v>
      </c>
      <c r="D9" s="30">
        <v>3878614576</v>
      </c>
      <c r="E9" s="31">
        <v>5402385086</v>
      </c>
      <c r="F9" s="31">
        <v>6682535195</v>
      </c>
      <c r="G9" s="30">
        <v>9555591771</v>
      </c>
      <c r="H9" s="32">
        <v>32.950000000000003</v>
      </c>
      <c r="I9" s="30">
        <v>10831063000</v>
      </c>
      <c r="J9" s="30">
        <v>9640000000</v>
      </c>
      <c r="K9" s="25">
        <f>+'Pro-Pdpt'!M9</f>
        <v>10604000000</v>
      </c>
      <c r="L9" s="25">
        <f>+'Pro-Pdpt'!N9</f>
        <v>12748899999.999998</v>
      </c>
      <c r="M9" s="25">
        <f>+'Pro-Pdpt'!O9</f>
        <v>14661234999.999996</v>
      </c>
      <c r="N9" s="25">
        <f>+'Pro-Pdpt'!P9</f>
        <v>16860417999.999996</v>
      </c>
      <c r="IM9" s="9"/>
    </row>
    <row r="10" spans="1:247" ht="21">
      <c r="A10" s="33" t="s">
        <v>119</v>
      </c>
      <c r="B10" s="34" t="s">
        <v>120</v>
      </c>
      <c r="C10" s="35">
        <v>8954512694</v>
      </c>
      <c r="D10" s="35">
        <v>11279174653</v>
      </c>
      <c r="E10" s="36">
        <v>9054042832</v>
      </c>
      <c r="F10" s="36">
        <v>7463883572</v>
      </c>
      <c r="G10" s="35">
        <v>43450073715</v>
      </c>
      <c r="H10" s="37">
        <v>117.7</v>
      </c>
      <c r="I10" s="35">
        <v>42653150000</v>
      </c>
      <c r="J10" s="35">
        <v>40642920000</v>
      </c>
      <c r="K10" s="25">
        <f>+'Pro-Pdpt'!M10</f>
        <v>59449000000</v>
      </c>
      <c r="L10" s="25">
        <f>+'Pro-Pdpt'!N10</f>
        <v>61181760000</v>
      </c>
      <c r="M10" s="25">
        <f>+'Pro-Pdpt'!O10</f>
        <v>44951503000</v>
      </c>
      <c r="N10" s="25">
        <f>+'Pro-Pdpt'!P10</f>
        <v>46259339000</v>
      </c>
      <c r="IM10" s="9"/>
    </row>
    <row r="11" spans="1:247" ht="15.75">
      <c r="A11" s="19" t="s">
        <v>121</v>
      </c>
      <c r="B11" s="20" t="s">
        <v>122</v>
      </c>
      <c r="C11" s="21">
        <f>SUM(C12:C14)</f>
        <v>497563580868</v>
      </c>
      <c r="D11" s="21">
        <f t="shared" ref="D11:G11" si="4">SUM(D12:D14)</f>
        <v>515228881135</v>
      </c>
      <c r="E11" s="38">
        <f t="shared" si="4"/>
        <v>522185893892</v>
      </c>
      <c r="F11" s="21">
        <f t="shared" si="4"/>
        <v>574917319097</v>
      </c>
      <c r="G11" s="21">
        <f t="shared" si="4"/>
        <v>707239144911</v>
      </c>
      <c r="H11" s="39">
        <v>9.5</v>
      </c>
      <c r="I11" s="21">
        <f t="shared" ref="I11" si="5">SUM(I12:I14)</f>
        <v>749673444000</v>
      </c>
      <c r="J11" s="21">
        <f>SUM(J12:J15)</f>
        <v>817035690000</v>
      </c>
      <c r="K11" s="21">
        <f t="shared" ref="K11:M11" si="6">SUM(K12:K15)</f>
        <v>901921743999.5481</v>
      </c>
      <c r="L11" s="21">
        <f t="shared" si="6"/>
        <v>966067046000.47302</v>
      </c>
      <c r="M11" s="21">
        <f t="shared" si="6"/>
        <v>1042030626000.0953</v>
      </c>
      <c r="N11" s="21">
        <f>SUM(N12:N15)+1</f>
        <v>1116553844000.4517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9"/>
    </row>
    <row r="12" spans="1:247" ht="15.75">
      <c r="A12" s="23" t="s">
        <v>123</v>
      </c>
      <c r="B12" s="24" t="s">
        <v>124</v>
      </c>
      <c r="C12" s="25">
        <v>28359251868</v>
      </c>
      <c r="D12" s="25">
        <v>33774574135</v>
      </c>
      <c r="E12" s="26">
        <v>37300870892</v>
      </c>
      <c r="F12" s="26">
        <v>34945207097</v>
      </c>
      <c r="G12" s="25">
        <v>35777146911</v>
      </c>
      <c r="H12" s="40">
        <v>6.4</v>
      </c>
      <c r="I12" s="25">
        <v>51843530000</v>
      </c>
      <c r="J12" s="25">
        <v>48568127000</v>
      </c>
      <c r="K12" s="25">
        <f>+'Pro-Pdpt'!M12</f>
        <v>53760500000</v>
      </c>
      <c r="L12" s="25">
        <f>+'Pro-Pdpt'!N12</f>
        <v>54486500000</v>
      </c>
      <c r="M12" s="25">
        <f>+'Pro-Pdpt'!O12</f>
        <v>55202500000</v>
      </c>
      <c r="N12" s="25">
        <f>+'Pro-Pdpt'!P12</f>
        <v>56119500000</v>
      </c>
      <c r="IM12" s="9"/>
    </row>
    <row r="13" spans="1:247" ht="15.75">
      <c r="A13" s="28" t="s">
        <v>125</v>
      </c>
      <c r="B13" s="29" t="s">
        <v>126</v>
      </c>
      <c r="C13" s="30">
        <v>421056329000</v>
      </c>
      <c r="D13" s="30">
        <v>430269307000</v>
      </c>
      <c r="E13" s="31">
        <v>438090923000</v>
      </c>
      <c r="F13" s="31">
        <v>482937812000</v>
      </c>
      <c r="G13" s="30">
        <v>584158278000</v>
      </c>
      <c r="H13" s="41">
        <v>8.8000000000000007</v>
      </c>
      <c r="I13" s="30">
        <v>651171674000</v>
      </c>
      <c r="J13" s="30">
        <v>708764753000</v>
      </c>
      <c r="K13" s="25">
        <f>+'[1]RCN 2014 (3)'!L160</f>
        <v>765757349999.5481</v>
      </c>
      <c r="L13" s="25">
        <f>+'[1]RCN 2014 (3)'!M160</f>
        <v>827424535000.47302</v>
      </c>
      <c r="M13" s="25">
        <f>+'[1]RCN 2014 (3)'!N160</f>
        <v>897867435000.22534</v>
      </c>
      <c r="N13" s="25">
        <f>+'[1]RCN 2014 (3)'!O160</f>
        <v>969614831999.69543</v>
      </c>
      <c r="O13" s="289"/>
      <c r="IM13" s="9"/>
    </row>
    <row r="14" spans="1:247" ht="15.75">
      <c r="A14" s="33" t="s">
        <v>127</v>
      </c>
      <c r="B14" s="34" t="s">
        <v>128</v>
      </c>
      <c r="C14" s="35">
        <v>48148000000</v>
      </c>
      <c r="D14" s="35">
        <v>51185000000</v>
      </c>
      <c r="E14" s="36">
        <v>46794100000</v>
      </c>
      <c r="F14" s="36">
        <v>57034300000</v>
      </c>
      <c r="G14" s="35">
        <v>87303720000</v>
      </c>
      <c r="H14" s="42">
        <v>18.170000000000002</v>
      </c>
      <c r="I14" s="35">
        <v>46658240000</v>
      </c>
      <c r="J14" s="35">
        <v>56702810000</v>
      </c>
      <c r="K14" s="25">
        <f>+'[1]RCN 2014 (3)'!L163</f>
        <v>79403894000</v>
      </c>
      <c r="L14" s="25">
        <f>+'[1]RCN 2014 (3)'!M163</f>
        <v>81156011000</v>
      </c>
      <c r="M14" s="25">
        <f>+'[1]RCN 2014 (3)'!N163</f>
        <v>85960690999.869995</v>
      </c>
      <c r="N14" s="25">
        <f>+'[1]RCN 2014 (3)'!O163</f>
        <v>87819511999.756104</v>
      </c>
      <c r="IM14" s="9"/>
    </row>
    <row r="15" spans="1:247" ht="15.75">
      <c r="A15" s="288"/>
      <c r="B15" s="287" t="s">
        <v>423</v>
      </c>
      <c r="C15" s="284"/>
      <c r="D15" s="284"/>
      <c r="E15" s="286"/>
      <c r="F15" s="286"/>
      <c r="G15" s="284"/>
      <c r="H15" s="285"/>
      <c r="I15" s="284"/>
      <c r="J15" s="284">
        <v>3000000000</v>
      </c>
      <c r="K15" s="314">
        <f>+'Pro-Pdpt'!M15</f>
        <v>3000000000</v>
      </c>
      <c r="L15" s="315">
        <f>+K15</f>
        <v>3000000000</v>
      </c>
      <c r="M15" s="315">
        <f>+L15</f>
        <v>3000000000</v>
      </c>
      <c r="N15" s="315">
        <f>+M15</f>
        <v>3000000000</v>
      </c>
      <c r="IM15" s="9"/>
    </row>
    <row r="16" spans="1:247" ht="15.75">
      <c r="A16" s="19" t="s">
        <v>129</v>
      </c>
      <c r="B16" s="20" t="s">
        <v>130</v>
      </c>
      <c r="C16" s="21">
        <f>SUM(C17:C20)</f>
        <v>41126737321</v>
      </c>
      <c r="D16" s="21">
        <f t="shared" ref="D16:G16" si="7">SUM(D17:D20)</f>
        <v>60566570314</v>
      </c>
      <c r="E16" s="38">
        <f t="shared" si="7"/>
        <v>98262823592</v>
      </c>
      <c r="F16" s="21">
        <f t="shared" si="7"/>
        <v>185219076427</v>
      </c>
      <c r="G16" s="21">
        <f t="shared" si="7"/>
        <v>181061739558</v>
      </c>
      <c r="H16" s="39">
        <v>48.94</v>
      </c>
      <c r="I16" s="21">
        <f t="shared" ref="I16:N16" si="8">SUM(I17:I20)</f>
        <v>197532452000</v>
      </c>
      <c r="J16" s="21">
        <f t="shared" si="8"/>
        <v>217948650000</v>
      </c>
      <c r="K16" s="21">
        <f t="shared" si="8"/>
        <v>224185300000</v>
      </c>
      <c r="L16" s="21">
        <f t="shared" si="8"/>
        <v>224754389000</v>
      </c>
      <c r="M16" s="21">
        <f t="shared" si="8"/>
        <v>225972166000</v>
      </c>
      <c r="N16" s="21">
        <f t="shared" si="8"/>
        <v>227223617000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9"/>
    </row>
    <row r="17" spans="1:247" ht="15.75">
      <c r="A17" s="23" t="s">
        <v>131</v>
      </c>
      <c r="B17" s="24" t="s">
        <v>132</v>
      </c>
      <c r="C17" s="25">
        <v>486231000</v>
      </c>
      <c r="D17" s="26">
        <v>3450101848</v>
      </c>
      <c r="E17" s="26">
        <v>2807704666</v>
      </c>
      <c r="F17" s="26">
        <v>696060800</v>
      </c>
      <c r="G17" s="25">
        <v>145820000</v>
      </c>
      <c r="H17" s="40">
        <v>109.17</v>
      </c>
      <c r="I17" s="25">
        <v>1051910000</v>
      </c>
      <c r="J17" s="25">
        <v>616150000</v>
      </c>
      <c r="K17" s="25">
        <f>+'Pro-Pdpt'!M17</f>
        <v>616150000</v>
      </c>
      <c r="L17" s="25">
        <f>+'Pro-Pdpt'!N17</f>
        <v>0</v>
      </c>
      <c r="M17" s="25">
        <f>+'Pro-Pdpt'!O17</f>
        <v>0</v>
      </c>
      <c r="N17" s="25">
        <f>+'Pro-Pdpt'!P17</f>
        <v>0</v>
      </c>
      <c r="IM17" s="9"/>
    </row>
    <row r="18" spans="1:247" ht="21">
      <c r="A18" s="28" t="s">
        <v>133</v>
      </c>
      <c r="B18" s="29" t="s">
        <v>134</v>
      </c>
      <c r="C18" s="30">
        <v>20870379396</v>
      </c>
      <c r="D18" s="31">
        <v>33186737016</v>
      </c>
      <c r="E18" s="31">
        <v>37428136126</v>
      </c>
      <c r="F18" s="31">
        <v>43614720307</v>
      </c>
      <c r="G18" s="30">
        <v>60284458558</v>
      </c>
      <c r="H18" s="41">
        <v>31.64</v>
      </c>
      <c r="I18" s="30">
        <v>31916581000</v>
      </c>
      <c r="J18" s="30">
        <v>41338000000</v>
      </c>
      <c r="K18" s="25">
        <f>+'Pro-Pdpt'!M18</f>
        <v>44815750000</v>
      </c>
      <c r="L18" s="25">
        <f>+'Pro-Pdpt'!N18</f>
        <v>46000988999.999992</v>
      </c>
      <c r="M18" s="25">
        <f>+'Pro-Pdpt'!O18</f>
        <v>47218765999.999985</v>
      </c>
      <c r="N18" s="25">
        <f>+'Pro-Pdpt'!P18</f>
        <v>48470216999.999985</v>
      </c>
      <c r="IM18" s="9"/>
    </row>
    <row r="19" spans="1:247" ht="21">
      <c r="A19" s="28" t="s">
        <v>135</v>
      </c>
      <c r="B19" s="29" t="s">
        <v>136</v>
      </c>
      <c r="C19" s="30">
        <v>6026638800</v>
      </c>
      <c r="D19" s="31">
        <v>12207750000</v>
      </c>
      <c r="E19" s="31">
        <v>42742778800</v>
      </c>
      <c r="F19" s="31">
        <v>122342105320</v>
      </c>
      <c r="G19" s="30">
        <v>99581821000</v>
      </c>
      <c r="H19" s="41">
        <v>130.08000000000001</v>
      </c>
      <c r="I19" s="30">
        <v>136253400000</v>
      </c>
      <c r="J19" s="30">
        <v>136253400000</v>
      </c>
      <c r="K19" s="25">
        <f>+'Pro-Pdpt'!M19</f>
        <v>136253400000</v>
      </c>
      <c r="L19" s="25">
        <f>+'Pro-Pdpt'!N19</f>
        <v>136253400000</v>
      </c>
      <c r="M19" s="25">
        <f>+'Pro-Pdpt'!O19</f>
        <v>136253400000</v>
      </c>
      <c r="N19" s="25">
        <f>+'Pro-Pdpt'!P19</f>
        <v>136253400000</v>
      </c>
      <c r="IM19" s="9"/>
    </row>
    <row r="20" spans="1:247" ht="21">
      <c r="A20" s="33" t="s">
        <v>137</v>
      </c>
      <c r="B20" s="34" t="s">
        <v>138</v>
      </c>
      <c r="C20" s="35">
        <v>13743488125</v>
      </c>
      <c r="D20" s="36">
        <v>11721981450</v>
      </c>
      <c r="E20" s="36">
        <v>15284204000</v>
      </c>
      <c r="F20" s="36">
        <v>18566190000</v>
      </c>
      <c r="G20" s="35">
        <v>21049640000</v>
      </c>
      <c r="H20" s="42">
        <v>12.63</v>
      </c>
      <c r="I20" s="35">
        <v>28310561000</v>
      </c>
      <c r="J20" s="35">
        <v>39741100000</v>
      </c>
      <c r="K20" s="25">
        <f>+'Pro-Pdpt'!M20</f>
        <v>42500000000</v>
      </c>
      <c r="L20" s="25">
        <f>+'Pro-Pdpt'!N20</f>
        <v>42500000000</v>
      </c>
      <c r="M20" s="25">
        <f>+'Pro-Pdpt'!O20</f>
        <v>42500000000</v>
      </c>
      <c r="N20" s="25">
        <f>+'Pro-Pdpt'!P20</f>
        <v>42500000000</v>
      </c>
      <c r="IM20" s="9"/>
    </row>
    <row r="21" spans="1:247" ht="15.75">
      <c r="A21" s="43"/>
      <c r="B21" s="44"/>
      <c r="K21" s="277"/>
      <c r="L21" s="13"/>
      <c r="IM21" s="9"/>
    </row>
    <row r="22" spans="1:247" s="295" customFormat="1" ht="11.25">
      <c r="A22" s="300" t="s">
        <v>106</v>
      </c>
      <c r="B22" s="18" t="s">
        <v>142</v>
      </c>
      <c r="C22" s="301">
        <v>2008</v>
      </c>
      <c r="D22" s="301">
        <v>2009</v>
      </c>
      <c r="E22" s="300">
        <v>2010</v>
      </c>
      <c r="F22" s="300">
        <v>2011</v>
      </c>
      <c r="G22" s="301">
        <v>2012</v>
      </c>
      <c r="H22" s="299">
        <v>2013</v>
      </c>
      <c r="I22" s="299">
        <v>2013</v>
      </c>
      <c r="J22" s="299">
        <v>2014</v>
      </c>
      <c r="K22" s="299">
        <v>2015</v>
      </c>
      <c r="L22" s="299">
        <v>2016</v>
      </c>
      <c r="M22" s="299">
        <v>2017</v>
      </c>
      <c r="N22" s="299">
        <v>2018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  <c r="ES22" s="299"/>
      <c r="ET22" s="299"/>
      <c r="EU22" s="299"/>
      <c r="EV22" s="299"/>
      <c r="EW22" s="299"/>
      <c r="EX22" s="299"/>
      <c r="EY22" s="299"/>
      <c r="EZ22" s="299"/>
      <c r="FA22" s="299"/>
      <c r="FB22" s="299"/>
      <c r="FC22" s="299"/>
      <c r="FD22" s="299"/>
      <c r="FE22" s="299"/>
      <c r="FF22" s="299"/>
      <c r="FG22" s="299"/>
      <c r="FH22" s="299"/>
      <c r="FI22" s="299"/>
      <c r="FJ22" s="299"/>
      <c r="FK22" s="299"/>
      <c r="FL22" s="299"/>
      <c r="FM22" s="299"/>
      <c r="FN22" s="299"/>
      <c r="FO22" s="299"/>
      <c r="FP22" s="299"/>
      <c r="FQ22" s="299"/>
      <c r="FR22" s="299"/>
      <c r="FS22" s="299"/>
      <c r="FT22" s="299"/>
      <c r="FU22" s="299"/>
      <c r="FV22" s="299"/>
      <c r="FW22" s="299"/>
      <c r="FX22" s="299"/>
      <c r="FY22" s="299"/>
      <c r="FZ22" s="299"/>
      <c r="GA22" s="299"/>
      <c r="GB22" s="299"/>
      <c r="GC22" s="299"/>
      <c r="GD22" s="299"/>
      <c r="GE22" s="299"/>
      <c r="GF22" s="299"/>
      <c r="GG22" s="299"/>
      <c r="GH22" s="299"/>
      <c r="GI22" s="299"/>
      <c r="GJ22" s="299"/>
      <c r="GK22" s="299"/>
      <c r="GL22" s="299"/>
      <c r="GM22" s="299"/>
      <c r="GN22" s="299"/>
      <c r="GO22" s="299"/>
      <c r="GP22" s="299"/>
      <c r="GQ22" s="299"/>
      <c r="GR22" s="299"/>
      <c r="GS22" s="299"/>
      <c r="GT22" s="299"/>
      <c r="GU22" s="299"/>
      <c r="GV22" s="299"/>
      <c r="GW22" s="299"/>
      <c r="GX22" s="299"/>
      <c r="GY22" s="299"/>
      <c r="GZ22" s="299"/>
      <c r="HA22" s="299"/>
      <c r="HB22" s="299"/>
      <c r="HC22" s="299"/>
      <c r="HD22" s="299"/>
      <c r="HE22" s="299"/>
      <c r="HF22" s="299"/>
      <c r="HG22" s="299"/>
      <c r="HH22" s="299"/>
      <c r="HI22" s="299"/>
      <c r="HJ22" s="299"/>
      <c r="HK22" s="299"/>
      <c r="HL22" s="299"/>
      <c r="HM22" s="299"/>
      <c r="HN22" s="299"/>
      <c r="HO22" s="299"/>
      <c r="HP22" s="299"/>
      <c r="HQ22" s="299"/>
      <c r="HR22" s="299"/>
      <c r="HS22" s="299"/>
      <c r="HT22" s="299"/>
      <c r="HU22" s="299"/>
      <c r="HV22" s="299"/>
      <c r="HW22" s="299"/>
      <c r="HX22" s="299"/>
      <c r="HY22" s="299"/>
      <c r="HZ22" s="299"/>
      <c r="IA22" s="299"/>
      <c r="IB22" s="299"/>
      <c r="IC22" s="299"/>
      <c r="ID22" s="299"/>
      <c r="IE22" s="299"/>
      <c r="IF22" s="299"/>
      <c r="IG22" s="299"/>
      <c r="IH22" s="299"/>
      <c r="II22" s="299"/>
      <c r="IJ22" s="299"/>
      <c r="IK22" s="299"/>
      <c r="IL22" s="299"/>
    </row>
    <row r="23" spans="1:247" s="295" customFormat="1" ht="11.25">
      <c r="A23" s="19" t="s">
        <v>143</v>
      </c>
      <c r="B23" s="20" t="s">
        <v>144</v>
      </c>
      <c r="C23" s="21">
        <f>+C24+C37</f>
        <v>611356971071</v>
      </c>
      <c r="D23" s="21">
        <f t="shared" ref="D23:N23" si="9">+D24+D37</f>
        <v>606966527358</v>
      </c>
      <c r="E23" s="21">
        <f t="shared" si="9"/>
        <v>662203879316</v>
      </c>
      <c r="F23" s="21">
        <f t="shared" si="9"/>
        <v>816160548955</v>
      </c>
      <c r="G23" s="21">
        <f t="shared" si="9"/>
        <v>956324159986</v>
      </c>
      <c r="H23" s="21">
        <f t="shared" si="9"/>
        <v>1175501480163</v>
      </c>
      <c r="I23" s="21">
        <f t="shared" si="9"/>
        <v>1175501480163</v>
      </c>
      <c r="J23" s="21">
        <f t="shared" si="9"/>
        <v>1233002583300</v>
      </c>
      <c r="K23" s="21">
        <f t="shared" si="9"/>
        <v>1265507531000.3335</v>
      </c>
      <c r="L23" s="21">
        <f t="shared" si="9"/>
        <v>1308492595000</v>
      </c>
      <c r="M23" s="21">
        <f t="shared" si="9"/>
        <v>1374102906000.375</v>
      </c>
      <c r="N23" s="21">
        <f t="shared" si="9"/>
        <v>1478813082250.2969</v>
      </c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</row>
    <row r="24" spans="1:247" s="295" customFormat="1" ht="11.25">
      <c r="A24" s="19" t="s">
        <v>145</v>
      </c>
      <c r="B24" s="20" t="s">
        <v>0</v>
      </c>
      <c r="C24" s="21">
        <f>SUM(C30:C36)</f>
        <v>410463264154</v>
      </c>
      <c r="D24" s="21">
        <f t="shared" ref="D24:G24" si="10">SUM(D30:D36)</f>
        <v>433902643778</v>
      </c>
      <c r="E24" s="21">
        <f t="shared" si="10"/>
        <v>523968868116</v>
      </c>
      <c r="F24" s="21">
        <f t="shared" si="10"/>
        <v>600658730241</v>
      </c>
      <c r="G24" s="21">
        <f t="shared" si="10"/>
        <v>639977390628</v>
      </c>
      <c r="H24" s="21">
        <f>SUM(H30:H36)</f>
        <v>745483287805</v>
      </c>
      <c r="I24" s="21">
        <f t="shared" ref="I24" si="11">SUM(I30:I36)</f>
        <v>745483287805</v>
      </c>
      <c r="J24" s="21">
        <f>+J26+J27</f>
        <v>761640575446</v>
      </c>
      <c r="K24" s="21">
        <f t="shared" ref="K24:N24" si="12">+K26+K27</f>
        <v>837373293000.33337</v>
      </c>
      <c r="L24" s="21">
        <f t="shared" si="12"/>
        <v>879418559000</v>
      </c>
      <c r="M24" s="21">
        <f t="shared" si="12"/>
        <v>928668209000.375</v>
      </c>
      <c r="N24" s="21">
        <f t="shared" si="12"/>
        <v>1001309326250.2969</v>
      </c>
      <c r="O24" s="316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</row>
    <row r="25" spans="1:247" s="295" customFormat="1" ht="11.25">
      <c r="A25" s="330"/>
      <c r="B25" s="331"/>
      <c r="C25" s="332"/>
      <c r="D25" s="333"/>
      <c r="E25" s="333"/>
      <c r="F25" s="333"/>
      <c r="G25" s="332"/>
      <c r="H25" s="490"/>
      <c r="I25" s="490"/>
      <c r="J25" s="490">
        <v>761640575446</v>
      </c>
      <c r="K25" s="490">
        <v>837373293000.33337</v>
      </c>
      <c r="L25" s="490">
        <v>879418559000</v>
      </c>
      <c r="M25" s="490">
        <v>928668209000.375</v>
      </c>
      <c r="N25" s="490">
        <v>1001309326250.2969</v>
      </c>
      <c r="O25" s="316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</row>
    <row r="26" spans="1:247" s="295" customFormat="1" ht="11.25">
      <c r="A26" s="330"/>
      <c r="B26" s="331" t="s">
        <v>599</v>
      </c>
      <c r="C26" s="332"/>
      <c r="D26" s="333"/>
      <c r="E26" s="333"/>
      <c r="F26" s="333"/>
      <c r="G26" s="332"/>
      <c r="H26" s="490"/>
      <c r="I26" s="490"/>
      <c r="J26" s="490">
        <f>+J30+J31+J34</f>
        <v>640401936446</v>
      </c>
      <c r="K26" s="490">
        <f t="shared" ref="K26:N26" si="13">+K30+K31+K34</f>
        <v>705884654000.33337</v>
      </c>
      <c r="L26" s="490">
        <f t="shared" si="13"/>
        <v>747929920000</v>
      </c>
      <c r="M26" s="490">
        <f t="shared" si="13"/>
        <v>792929570000.375</v>
      </c>
      <c r="N26" s="490">
        <f t="shared" si="13"/>
        <v>843070687250.29687</v>
      </c>
      <c r="O26" s="316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</row>
    <row r="27" spans="1:247" s="295" customFormat="1" ht="11.25">
      <c r="A27" s="330"/>
      <c r="B27" s="331" t="s">
        <v>600</v>
      </c>
      <c r="C27" s="332"/>
      <c r="D27" s="333"/>
      <c r="E27" s="333"/>
      <c r="F27" s="333"/>
      <c r="G27" s="332"/>
      <c r="H27" s="490"/>
      <c r="I27" s="490"/>
      <c r="J27" s="490">
        <f>+J25-J26</f>
        <v>121238639000</v>
      </c>
      <c r="K27" s="490">
        <f t="shared" ref="K27:N27" si="14">+K25-K26</f>
        <v>131488639000</v>
      </c>
      <c r="L27" s="490">
        <f t="shared" si="14"/>
        <v>131488639000</v>
      </c>
      <c r="M27" s="490">
        <f t="shared" si="14"/>
        <v>135738639000</v>
      </c>
      <c r="N27" s="490">
        <f t="shared" si="14"/>
        <v>158238639000</v>
      </c>
      <c r="O27" s="316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</row>
    <row r="28" spans="1:247" s="295" customFormat="1" ht="11.25" hidden="1">
      <c r="A28" s="330"/>
      <c r="B28" s="331"/>
      <c r="C28" s="332"/>
      <c r="D28" s="333"/>
      <c r="E28" s="333"/>
      <c r="F28" s="333"/>
      <c r="G28" s="332"/>
      <c r="H28" s="490"/>
      <c r="I28" s="490"/>
      <c r="J28" s="490"/>
      <c r="K28" s="490"/>
      <c r="L28" s="490"/>
      <c r="M28" s="490"/>
      <c r="N28" s="490"/>
      <c r="O28" s="316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</row>
    <row r="29" spans="1:247" s="295" customFormat="1" ht="11.25" hidden="1">
      <c r="A29" s="330"/>
      <c r="B29" s="331"/>
      <c r="C29" s="332"/>
      <c r="D29" s="333"/>
      <c r="E29" s="333"/>
      <c r="F29" s="333"/>
      <c r="G29" s="332"/>
      <c r="H29" s="490"/>
      <c r="I29" s="490"/>
      <c r="J29" s="490"/>
      <c r="K29" s="490"/>
      <c r="L29" s="490"/>
      <c r="M29" s="490"/>
      <c r="N29" s="490"/>
      <c r="O29" s="316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  <c r="HD29" s="294"/>
      <c r="HE29" s="294"/>
      <c r="HF29" s="294"/>
      <c r="HG29" s="294"/>
      <c r="HH29" s="294"/>
      <c r="HI29" s="294"/>
      <c r="HJ29" s="294"/>
      <c r="HK29" s="294"/>
      <c r="HL29" s="294"/>
      <c r="HM29" s="294"/>
      <c r="HN29" s="294"/>
      <c r="HO29" s="294"/>
      <c r="HP29" s="294"/>
      <c r="HQ29" s="294"/>
      <c r="HR29" s="294"/>
      <c r="HS29" s="294"/>
      <c r="HT29" s="294"/>
      <c r="HU29" s="294"/>
      <c r="HV29" s="294"/>
      <c r="HW29" s="294"/>
      <c r="HX29" s="294"/>
      <c r="HY29" s="294"/>
      <c r="HZ29" s="294"/>
      <c r="IA29" s="294"/>
      <c r="IB29" s="294"/>
      <c r="IC29" s="294"/>
      <c r="ID29" s="294"/>
      <c r="IE29" s="294"/>
      <c r="IF29" s="294"/>
      <c r="IG29" s="294"/>
      <c r="IH29" s="294"/>
      <c r="II29" s="294"/>
      <c r="IJ29" s="294"/>
      <c r="IK29" s="294"/>
      <c r="IL29" s="294"/>
    </row>
    <row r="30" spans="1:247" s="295" customFormat="1" ht="11.25" hidden="1">
      <c r="A30" s="23" t="s">
        <v>146</v>
      </c>
      <c r="B30" s="24" t="s">
        <v>5</v>
      </c>
      <c r="C30" s="25">
        <v>309926055084</v>
      </c>
      <c r="D30" s="302">
        <v>339675023000</v>
      </c>
      <c r="E30" s="303">
        <v>420371009427</v>
      </c>
      <c r="F30" s="303">
        <v>474666829278</v>
      </c>
      <c r="G30" s="304">
        <v>540996735761</v>
      </c>
      <c r="H30" s="305">
        <v>597730844785</v>
      </c>
      <c r="I30" s="305">
        <f>+'[1]Pro-Blj'!H7</f>
        <v>597730844785</v>
      </c>
      <c r="J30" s="305">
        <f>+'[1]Pro-Blj'!I7</f>
        <v>633897936446</v>
      </c>
      <c r="K30" s="305">
        <f>+'[1]BELANJA WAJIB'!E13-606080000</f>
        <v>695879820000</v>
      </c>
      <c r="L30" s="305">
        <f>+'[1]BELANJA WAJIB'!F13-869674000</f>
        <v>738493920000</v>
      </c>
      <c r="M30" s="305">
        <f>+'[1]BELANJA WAJIB'!G13-748877000</f>
        <v>785021570000.375</v>
      </c>
      <c r="N30" s="305">
        <f>+'[1]BELANJA WAJIB'!H13-825933750</f>
        <v>836690687250.29687</v>
      </c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299"/>
      <c r="II30" s="299"/>
      <c r="IJ30" s="299"/>
      <c r="IK30" s="299"/>
      <c r="IL30" s="299"/>
    </row>
    <row r="31" spans="1:247" s="295" customFormat="1" ht="11.25" hidden="1">
      <c r="A31" s="28" t="s">
        <v>147</v>
      </c>
      <c r="B31" s="29" t="s">
        <v>6</v>
      </c>
      <c r="C31" s="30">
        <v>3360639</v>
      </c>
      <c r="D31" s="30"/>
      <c r="E31" s="32"/>
      <c r="F31" s="32"/>
      <c r="G31" s="306">
        <v>0</v>
      </c>
      <c r="H31" s="305">
        <v>1448750000</v>
      </c>
      <c r="I31" s="305">
        <f>+'[1]Pro-Blj'!H8</f>
        <v>1448750000</v>
      </c>
      <c r="J31" s="305">
        <f>+'[1]Pro-Blj'!I8</f>
        <v>2000000000</v>
      </c>
      <c r="K31" s="305">
        <f>+L126*1000000+667</f>
        <v>5304834000.3333359</v>
      </c>
      <c r="L31" s="305">
        <f>+L127*1000000</f>
        <v>4536000000</v>
      </c>
      <c r="M31" s="317">
        <f>+L128*1000000</f>
        <v>2808000000</v>
      </c>
      <c r="N31" s="317">
        <f>+L129*1000000</f>
        <v>1080000000</v>
      </c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299"/>
      <c r="HI31" s="299"/>
      <c r="HJ31" s="299"/>
      <c r="HK31" s="299"/>
      <c r="HL31" s="299"/>
      <c r="HM31" s="299"/>
      <c r="HN31" s="299"/>
      <c r="HO31" s="299"/>
      <c r="HP31" s="299"/>
      <c r="HQ31" s="299"/>
      <c r="HR31" s="299"/>
      <c r="HS31" s="299"/>
      <c r="HT31" s="299"/>
      <c r="HU31" s="299"/>
      <c r="HV31" s="299"/>
      <c r="HW31" s="299"/>
      <c r="HX31" s="299"/>
      <c r="HY31" s="299"/>
      <c r="HZ31" s="299"/>
      <c r="IA31" s="299"/>
      <c r="IB31" s="299"/>
      <c r="IC31" s="299"/>
      <c r="ID31" s="299"/>
      <c r="IE31" s="299"/>
      <c r="IF31" s="299"/>
      <c r="IG31" s="299"/>
      <c r="IH31" s="299"/>
      <c r="II31" s="299"/>
      <c r="IJ31" s="299"/>
      <c r="IK31" s="299"/>
      <c r="IL31" s="299"/>
    </row>
    <row r="32" spans="1:247" s="326" customFormat="1" ht="11.25" hidden="1">
      <c r="A32" s="318" t="s">
        <v>148</v>
      </c>
      <c r="B32" s="319" t="s">
        <v>149</v>
      </c>
      <c r="C32" s="320">
        <v>17715623937</v>
      </c>
      <c r="D32" s="320">
        <v>36944486475</v>
      </c>
      <c r="E32" s="321">
        <v>39298203555</v>
      </c>
      <c r="F32" s="321">
        <v>60528447883</v>
      </c>
      <c r="G32" s="322">
        <v>40922373670</v>
      </c>
      <c r="H32" s="323">
        <v>62801569520</v>
      </c>
      <c r="I32" s="323">
        <f>+'[1]Pro-Blj'!H9</f>
        <v>62801569520</v>
      </c>
      <c r="J32" s="323">
        <f>+'[1]Pro-Blj'!I9+12000000000</f>
        <v>54790840000</v>
      </c>
      <c r="K32" s="323">
        <f>J32</f>
        <v>54790840000</v>
      </c>
      <c r="L32" s="323">
        <f>+K32</f>
        <v>54790840000</v>
      </c>
      <c r="M32" s="324">
        <f>+L32+2000000000</f>
        <v>56790840000</v>
      </c>
      <c r="N32" s="324">
        <f>+M32+20000000000+500000000</f>
        <v>77290840000</v>
      </c>
      <c r="O32" s="324">
        <f>N32</f>
        <v>77290840000</v>
      </c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5"/>
      <c r="FL32" s="325"/>
      <c r="FM32" s="325"/>
      <c r="FN32" s="325"/>
      <c r="FO32" s="325"/>
      <c r="FP32" s="325"/>
      <c r="FQ32" s="325"/>
      <c r="FR32" s="325"/>
      <c r="FS32" s="325"/>
      <c r="FT32" s="325"/>
      <c r="FU32" s="325"/>
      <c r="FV32" s="325"/>
      <c r="FW32" s="325"/>
      <c r="FX32" s="325"/>
      <c r="FY32" s="325"/>
      <c r="FZ32" s="325"/>
      <c r="GA32" s="325"/>
      <c r="GB32" s="325"/>
      <c r="GC32" s="325"/>
      <c r="GD32" s="325"/>
      <c r="GE32" s="325"/>
      <c r="GF32" s="325"/>
      <c r="GG32" s="325"/>
      <c r="GH32" s="325"/>
      <c r="GI32" s="325"/>
      <c r="GJ32" s="325"/>
      <c r="GK32" s="325"/>
      <c r="GL32" s="325"/>
      <c r="GM32" s="325"/>
      <c r="GN32" s="325"/>
      <c r="GO32" s="325"/>
      <c r="GP32" s="325"/>
      <c r="GQ32" s="325"/>
      <c r="GR32" s="325"/>
      <c r="GS32" s="325"/>
      <c r="GT32" s="325"/>
      <c r="GU32" s="325"/>
      <c r="GV32" s="325"/>
      <c r="GW32" s="325"/>
      <c r="GX32" s="325"/>
      <c r="GY32" s="325"/>
      <c r="GZ32" s="325"/>
      <c r="HA32" s="325"/>
      <c r="HB32" s="325"/>
      <c r="HC32" s="325"/>
      <c r="HD32" s="325"/>
      <c r="HE32" s="325"/>
      <c r="HF32" s="325"/>
      <c r="HG32" s="325"/>
      <c r="HH32" s="325"/>
      <c r="HI32" s="325"/>
      <c r="HJ32" s="325"/>
      <c r="HK32" s="325"/>
      <c r="HL32" s="325"/>
      <c r="HM32" s="325"/>
      <c r="HN32" s="325"/>
      <c r="HO32" s="325"/>
      <c r="HP32" s="325"/>
      <c r="HQ32" s="325"/>
      <c r="HR32" s="325"/>
      <c r="HS32" s="325"/>
      <c r="HT32" s="325"/>
      <c r="HU32" s="325"/>
      <c r="HV32" s="325"/>
      <c r="HW32" s="325"/>
      <c r="HX32" s="325"/>
      <c r="HY32" s="325"/>
      <c r="HZ32" s="325"/>
      <c r="IA32" s="325"/>
      <c r="IB32" s="325"/>
      <c r="IC32" s="325"/>
      <c r="ID32" s="325"/>
      <c r="IE32" s="325"/>
      <c r="IF32" s="325"/>
      <c r="IG32" s="325"/>
      <c r="IH32" s="325"/>
      <c r="II32" s="325"/>
      <c r="IJ32" s="325"/>
      <c r="IK32" s="325"/>
      <c r="IL32" s="325"/>
    </row>
    <row r="33" spans="1:246" s="326" customFormat="1" ht="11.25" hidden="1">
      <c r="A33" s="318" t="s">
        <v>150</v>
      </c>
      <c r="B33" s="319" t="s">
        <v>151</v>
      </c>
      <c r="C33" s="320">
        <v>31639516025</v>
      </c>
      <c r="D33" s="320">
        <v>10889005170</v>
      </c>
      <c r="E33" s="321">
        <v>19022496861</v>
      </c>
      <c r="F33" s="321">
        <v>20885382630</v>
      </c>
      <c r="G33" s="322">
        <v>14132312373</v>
      </c>
      <c r="H33" s="323">
        <v>30470227000</v>
      </c>
      <c r="I33" s="323">
        <f>+'[1]Pro-Blj'!H10</f>
        <v>30470227000</v>
      </c>
      <c r="J33" s="323">
        <f>+'[1]Pro-Blj'!I10</f>
        <v>24342680000</v>
      </c>
      <c r="K33" s="323">
        <f>+J33+8000000000+2000000000</f>
        <v>34342680000</v>
      </c>
      <c r="L33" s="323">
        <f>+K33</f>
        <v>34342680000</v>
      </c>
      <c r="M33" s="323">
        <f>+L33+2000000000</f>
        <v>36342680000</v>
      </c>
      <c r="N33" s="323">
        <f>+M33+2000000000</f>
        <v>38342680000</v>
      </c>
      <c r="O33" s="324">
        <f>N33</f>
        <v>38342680000</v>
      </c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5"/>
      <c r="FU33" s="325"/>
      <c r="FV33" s="325"/>
      <c r="FW33" s="325"/>
      <c r="FX33" s="325"/>
      <c r="FY33" s="325"/>
      <c r="FZ33" s="325"/>
      <c r="GA33" s="325"/>
      <c r="GB33" s="325"/>
      <c r="GC33" s="325"/>
      <c r="GD33" s="325"/>
      <c r="GE33" s="325"/>
      <c r="GF33" s="325"/>
      <c r="GG33" s="325"/>
      <c r="GH33" s="325"/>
      <c r="GI33" s="325"/>
      <c r="GJ33" s="325"/>
      <c r="GK33" s="325"/>
      <c r="GL33" s="325"/>
      <c r="GM33" s="325"/>
      <c r="GN33" s="325"/>
      <c r="GO33" s="325"/>
      <c r="GP33" s="325"/>
      <c r="GQ33" s="325"/>
      <c r="GR33" s="325"/>
      <c r="GS33" s="325"/>
      <c r="GT33" s="325"/>
      <c r="GU33" s="325"/>
      <c r="GV33" s="325"/>
      <c r="GW33" s="325"/>
      <c r="GX33" s="325"/>
      <c r="GY33" s="325"/>
      <c r="GZ33" s="325"/>
      <c r="HA33" s="325"/>
      <c r="HB33" s="325"/>
      <c r="HC33" s="325"/>
      <c r="HD33" s="325"/>
      <c r="HE33" s="325"/>
      <c r="HF33" s="325"/>
      <c r="HG33" s="325"/>
      <c r="HH33" s="325"/>
      <c r="HI33" s="325"/>
      <c r="HJ33" s="325"/>
      <c r="HK33" s="325"/>
      <c r="HL33" s="325"/>
      <c r="HM33" s="325"/>
      <c r="HN33" s="325"/>
      <c r="HO33" s="325"/>
      <c r="HP33" s="325"/>
      <c r="HQ33" s="325"/>
      <c r="HR33" s="325"/>
      <c r="HS33" s="325"/>
      <c r="HT33" s="325"/>
      <c r="HU33" s="325"/>
      <c r="HV33" s="325"/>
      <c r="HW33" s="325"/>
      <c r="HX33" s="325"/>
      <c r="HY33" s="325"/>
      <c r="HZ33" s="325"/>
      <c r="IA33" s="325"/>
      <c r="IB33" s="325"/>
      <c r="IC33" s="325"/>
      <c r="ID33" s="325"/>
      <c r="IE33" s="325"/>
      <c r="IF33" s="325"/>
      <c r="IG33" s="325"/>
      <c r="IH33" s="325"/>
      <c r="II33" s="325"/>
      <c r="IJ33" s="325"/>
      <c r="IK33" s="325"/>
      <c r="IL33" s="325"/>
    </row>
    <row r="34" spans="1:246" s="295" customFormat="1" ht="21" hidden="1">
      <c r="A34" s="28" t="s">
        <v>152</v>
      </c>
      <c r="B34" s="29" t="s">
        <v>153</v>
      </c>
      <c r="C34" s="30">
        <v>48562970</v>
      </c>
      <c r="D34" s="30">
        <v>47964785</v>
      </c>
      <c r="E34" s="31">
        <v>53705198</v>
      </c>
      <c r="F34" s="31">
        <v>4298707350</v>
      </c>
      <c r="G34" s="306">
        <v>4899805654</v>
      </c>
      <c r="H34" s="305">
        <v>4329000000</v>
      </c>
      <c r="I34" s="305">
        <f>+'[1]Pro-Blj'!H11</f>
        <v>4329000000</v>
      </c>
      <c r="J34" s="305">
        <f>+'[1]Pro-Blj'!I11</f>
        <v>4504000000</v>
      </c>
      <c r="K34" s="305">
        <v>4700000000</v>
      </c>
      <c r="L34" s="305">
        <v>4900000000</v>
      </c>
      <c r="M34" s="305">
        <v>5100000000</v>
      </c>
      <c r="N34" s="305">
        <v>5300000000</v>
      </c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</row>
    <row r="35" spans="1:246" s="326" customFormat="1" ht="21" hidden="1">
      <c r="A35" s="318" t="s">
        <v>154</v>
      </c>
      <c r="B35" s="319" t="s">
        <v>155</v>
      </c>
      <c r="C35" s="320">
        <v>51004053999</v>
      </c>
      <c r="D35" s="320">
        <v>45425697933</v>
      </c>
      <c r="E35" s="321">
        <v>43821596815</v>
      </c>
      <c r="F35" s="321">
        <v>39285513100</v>
      </c>
      <c r="G35" s="322">
        <v>38744388450</v>
      </c>
      <c r="H35" s="323">
        <v>47952896500</v>
      </c>
      <c r="I35" s="323">
        <f>+'[1]Pro-Blj'!H12</f>
        <v>47952896500</v>
      </c>
      <c r="J35" s="323">
        <f>+'[1]Pro-Blj'!I12</f>
        <v>41605119000</v>
      </c>
      <c r="K35" s="323">
        <f>+J35</f>
        <v>41605119000</v>
      </c>
      <c r="L35" s="323">
        <f>+K35</f>
        <v>41605119000</v>
      </c>
      <c r="M35" s="323">
        <f>+L35</f>
        <v>41605119000</v>
      </c>
      <c r="N35" s="323">
        <f>+M35</f>
        <v>41605119000</v>
      </c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5"/>
      <c r="EY35" s="325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5"/>
      <c r="FL35" s="325"/>
      <c r="FM35" s="325"/>
      <c r="FN35" s="325"/>
      <c r="FO35" s="325"/>
      <c r="FP35" s="325"/>
      <c r="FQ35" s="325"/>
      <c r="FR35" s="325"/>
      <c r="FS35" s="325"/>
      <c r="FT35" s="325"/>
      <c r="FU35" s="325"/>
      <c r="FV35" s="325"/>
      <c r="FW35" s="325"/>
      <c r="FX35" s="325"/>
      <c r="FY35" s="325"/>
      <c r="FZ35" s="325"/>
      <c r="GA35" s="325"/>
      <c r="GB35" s="325"/>
      <c r="GC35" s="325"/>
      <c r="GD35" s="325"/>
      <c r="GE35" s="325"/>
      <c r="GF35" s="325"/>
      <c r="GG35" s="325"/>
      <c r="GH35" s="325"/>
      <c r="GI35" s="325"/>
      <c r="GJ35" s="325"/>
      <c r="GK35" s="325"/>
      <c r="GL35" s="325"/>
      <c r="GM35" s="325"/>
      <c r="GN35" s="325"/>
      <c r="GO35" s="325"/>
      <c r="GP35" s="325"/>
      <c r="GQ35" s="325"/>
      <c r="GR35" s="325"/>
      <c r="GS35" s="325"/>
      <c r="GT35" s="325"/>
      <c r="GU35" s="325"/>
      <c r="GV35" s="325"/>
      <c r="GW35" s="325"/>
      <c r="GX35" s="325"/>
      <c r="GY35" s="325"/>
      <c r="GZ35" s="325"/>
      <c r="HA35" s="325"/>
      <c r="HB35" s="325"/>
      <c r="HC35" s="325"/>
      <c r="HD35" s="325"/>
      <c r="HE35" s="325"/>
      <c r="HF35" s="325"/>
      <c r="HG35" s="325"/>
      <c r="HH35" s="325"/>
      <c r="HI35" s="325"/>
      <c r="HJ35" s="325"/>
      <c r="HK35" s="325"/>
      <c r="HL35" s="325"/>
      <c r="HM35" s="325"/>
      <c r="HN35" s="325"/>
      <c r="HO35" s="325"/>
      <c r="HP35" s="325"/>
      <c r="HQ35" s="325"/>
      <c r="HR35" s="325"/>
      <c r="HS35" s="325"/>
      <c r="HT35" s="325"/>
      <c r="HU35" s="325"/>
      <c r="HV35" s="325"/>
      <c r="HW35" s="325"/>
      <c r="HX35" s="325"/>
      <c r="HY35" s="325"/>
      <c r="HZ35" s="325"/>
      <c r="IA35" s="325"/>
      <c r="IB35" s="325"/>
      <c r="IC35" s="325"/>
      <c r="ID35" s="325"/>
      <c r="IE35" s="325"/>
      <c r="IF35" s="325"/>
      <c r="IG35" s="325"/>
      <c r="IH35" s="325"/>
      <c r="II35" s="325"/>
      <c r="IJ35" s="325"/>
      <c r="IK35" s="325"/>
      <c r="IL35" s="325"/>
    </row>
    <row r="36" spans="1:246" s="295" customFormat="1" ht="11.25" hidden="1">
      <c r="A36" s="33" t="s">
        <v>156</v>
      </c>
      <c r="B36" s="34" t="s">
        <v>157</v>
      </c>
      <c r="C36" s="35">
        <v>126091500</v>
      </c>
      <c r="D36" s="35">
        <v>920466415</v>
      </c>
      <c r="E36" s="36">
        <v>1401856260</v>
      </c>
      <c r="F36" s="36">
        <v>993850000</v>
      </c>
      <c r="G36" s="307">
        <v>281774720</v>
      </c>
      <c r="H36" s="305">
        <v>750000000</v>
      </c>
      <c r="I36" s="305">
        <f>+'[1]Pro-Blj'!H13</f>
        <v>750000000</v>
      </c>
      <c r="J36" s="305">
        <f>+'[1]Pro-Blj'!I13</f>
        <v>500000000</v>
      </c>
      <c r="K36" s="305">
        <v>750000000</v>
      </c>
      <c r="L36" s="305">
        <v>750000000</v>
      </c>
      <c r="M36" s="305">
        <v>1000000000</v>
      </c>
      <c r="N36" s="305">
        <v>1000000000</v>
      </c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  <c r="IG36" s="299"/>
      <c r="IH36" s="299"/>
      <c r="II36" s="299"/>
      <c r="IJ36" s="299"/>
      <c r="IK36" s="299"/>
      <c r="IL36" s="299"/>
    </row>
    <row r="37" spans="1:246" s="295" customFormat="1" ht="11.25">
      <c r="A37" s="19" t="s">
        <v>158</v>
      </c>
      <c r="B37" s="20" t="s">
        <v>1</v>
      </c>
      <c r="C37" s="21">
        <f t="shared" ref="C37:I37" si="15">SUM(C39:C41)</f>
        <v>200893706917</v>
      </c>
      <c r="D37" s="21">
        <f t="shared" si="15"/>
        <v>173063883580</v>
      </c>
      <c r="E37" s="38">
        <f t="shared" si="15"/>
        <v>138235011200</v>
      </c>
      <c r="F37" s="21">
        <f t="shared" si="15"/>
        <v>215501818714</v>
      </c>
      <c r="G37" s="21">
        <f t="shared" si="15"/>
        <v>316346769358</v>
      </c>
      <c r="H37" s="38">
        <f t="shared" si="15"/>
        <v>430018192358</v>
      </c>
      <c r="I37" s="38">
        <f t="shared" si="15"/>
        <v>430018192358</v>
      </c>
      <c r="J37" s="38">
        <f>+J39+J40</f>
        <v>471362007854</v>
      </c>
      <c r="K37" s="38">
        <f>+K39+K40</f>
        <v>428134238000</v>
      </c>
      <c r="L37" s="38">
        <f>+L39+L40</f>
        <v>429074036000</v>
      </c>
      <c r="M37" s="38">
        <f>+M39+M40</f>
        <v>445434697000</v>
      </c>
      <c r="N37" s="38">
        <f>+N39+N40</f>
        <v>477503756000</v>
      </c>
      <c r="O37" s="327"/>
      <c r="P37" s="328"/>
      <c r="Q37" s="329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H37" s="294"/>
      <c r="FI37" s="294"/>
      <c r="FJ37" s="294"/>
      <c r="FK37" s="294"/>
      <c r="FL37" s="294"/>
      <c r="FM37" s="294"/>
      <c r="FN37" s="294"/>
      <c r="FO37" s="294"/>
      <c r="FP37" s="294"/>
      <c r="FQ37" s="294"/>
      <c r="FR37" s="294"/>
      <c r="FS37" s="294"/>
      <c r="FT37" s="294"/>
      <c r="FU37" s="294"/>
      <c r="FV37" s="294"/>
      <c r="FW37" s="294"/>
      <c r="FX37" s="294"/>
      <c r="FY37" s="294"/>
      <c r="FZ37" s="294"/>
      <c r="GA37" s="294"/>
      <c r="GB37" s="294"/>
      <c r="GC37" s="294"/>
      <c r="GD37" s="294"/>
      <c r="GE37" s="294"/>
      <c r="GF37" s="294"/>
      <c r="GG37" s="294"/>
      <c r="GH37" s="294"/>
      <c r="GI37" s="294"/>
      <c r="GJ37" s="294"/>
      <c r="GK37" s="294"/>
      <c r="GL37" s="294"/>
      <c r="GM37" s="294"/>
      <c r="GN37" s="294"/>
      <c r="GO37" s="294"/>
      <c r="GP37" s="294"/>
      <c r="GQ37" s="294"/>
      <c r="GR37" s="294"/>
      <c r="GS37" s="294"/>
      <c r="GT37" s="294"/>
      <c r="GU37" s="294"/>
      <c r="GV37" s="294"/>
      <c r="GW37" s="294"/>
      <c r="GX37" s="294"/>
      <c r="GY37" s="294"/>
      <c r="GZ37" s="294"/>
      <c r="HA37" s="294"/>
      <c r="HB37" s="294"/>
      <c r="HC37" s="294"/>
      <c r="HD37" s="294"/>
      <c r="HE37" s="294"/>
      <c r="HF37" s="294"/>
      <c r="HG37" s="294"/>
      <c r="HH37" s="294"/>
      <c r="HI37" s="294"/>
      <c r="HJ37" s="294"/>
      <c r="HK37" s="294"/>
      <c r="HL37" s="294"/>
      <c r="HM37" s="294"/>
      <c r="HN37" s="294"/>
      <c r="HO37" s="294"/>
      <c r="HP37" s="294"/>
      <c r="HQ37" s="294"/>
      <c r="HR37" s="294"/>
      <c r="HS37" s="294"/>
      <c r="HT37" s="294"/>
      <c r="HU37" s="294"/>
      <c r="HV37" s="294"/>
      <c r="HW37" s="294"/>
      <c r="HX37" s="294"/>
      <c r="HY37" s="294"/>
      <c r="HZ37" s="294"/>
      <c r="IA37" s="294"/>
      <c r="IB37" s="294"/>
      <c r="IC37" s="294"/>
      <c r="ID37" s="294"/>
      <c r="IE37" s="294"/>
      <c r="IF37" s="294"/>
      <c r="IG37" s="294"/>
      <c r="IH37" s="294"/>
      <c r="II37" s="294"/>
      <c r="IJ37" s="294"/>
      <c r="IK37" s="294"/>
      <c r="IL37" s="294"/>
    </row>
    <row r="38" spans="1:246" s="295" customFormat="1" ht="11.25">
      <c r="A38" s="330"/>
      <c r="B38" s="331"/>
      <c r="C38" s="332"/>
      <c r="D38" s="333"/>
      <c r="E38" s="334"/>
      <c r="F38" s="333"/>
      <c r="G38" s="332"/>
      <c r="H38" s="335"/>
      <c r="I38" s="335"/>
      <c r="J38" s="335">
        <v>471362007854</v>
      </c>
      <c r="K38" s="335">
        <v>428134238000</v>
      </c>
      <c r="L38" s="335">
        <v>429074036000</v>
      </c>
      <c r="M38" s="335">
        <v>445434697000</v>
      </c>
      <c r="N38" s="335">
        <v>477503756000</v>
      </c>
      <c r="O38" s="329"/>
      <c r="P38" s="328"/>
      <c r="Q38" s="329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  <c r="DJ38" s="294"/>
      <c r="DK38" s="294"/>
      <c r="DL38" s="294"/>
      <c r="DM38" s="294"/>
      <c r="DN38" s="294"/>
      <c r="DO38" s="294"/>
      <c r="DP38" s="294"/>
      <c r="DQ38" s="294"/>
      <c r="DR38" s="294"/>
      <c r="DS38" s="294"/>
      <c r="DT38" s="294"/>
      <c r="DU38" s="294"/>
      <c r="DV38" s="294"/>
      <c r="DW38" s="294"/>
      <c r="DX38" s="294"/>
      <c r="DY38" s="294"/>
      <c r="DZ38" s="294"/>
      <c r="EA38" s="294"/>
      <c r="EB38" s="294"/>
      <c r="EC38" s="294"/>
      <c r="ED38" s="294"/>
      <c r="EE38" s="294"/>
      <c r="EF38" s="294"/>
      <c r="EG38" s="294"/>
      <c r="EH38" s="294"/>
      <c r="EI38" s="294"/>
      <c r="EJ38" s="294"/>
      <c r="EK38" s="294"/>
      <c r="EL38" s="294"/>
      <c r="EM38" s="294"/>
      <c r="EN38" s="294"/>
      <c r="EO38" s="294"/>
      <c r="EP38" s="294"/>
      <c r="EQ38" s="294"/>
      <c r="ER38" s="294"/>
      <c r="ES38" s="294"/>
      <c r="ET38" s="294"/>
      <c r="EU38" s="294"/>
      <c r="EV38" s="294"/>
      <c r="EW38" s="294"/>
      <c r="EX38" s="294"/>
      <c r="EY38" s="294"/>
      <c r="EZ38" s="294"/>
      <c r="FA38" s="294"/>
      <c r="FB38" s="294"/>
      <c r="FC38" s="294"/>
      <c r="FD38" s="294"/>
      <c r="FE38" s="294"/>
      <c r="FF38" s="294"/>
      <c r="FG38" s="294"/>
      <c r="FH38" s="294"/>
      <c r="FI38" s="294"/>
      <c r="FJ38" s="294"/>
      <c r="FK38" s="294"/>
      <c r="FL38" s="294"/>
      <c r="FM38" s="294"/>
      <c r="FN38" s="294"/>
      <c r="FO38" s="294"/>
      <c r="FP38" s="294"/>
      <c r="FQ38" s="294"/>
      <c r="FR38" s="294"/>
      <c r="FS38" s="294"/>
      <c r="FT38" s="294"/>
      <c r="FU38" s="294"/>
      <c r="FV38" s="294"/>
      <c r="FW38" s="294"/>
      <c r="FX38" s="294"/>
      <c r="FY38" s="294"/>
      <c r="FZ38" s="294"/>
      <c r="GA38" s="294"/>
      <c r="GB38" s="294"/>
      <c r="GC38" s="294"/>
      <c r="GD38" s="294"/>
      <c r="GE38" s="294"/>
      <c r="GF38" s="294"/>
      <c r="GG38" s="294"/>
      <c r="GH38" s="294"/>
      <c r="GI38" s="294"/>
      <c r="GJ38" s="294"/>
      <c r="GK38" s="294"/>
      <c r="GL38" s="294"/>
      <c r="GM38" s="294"/>
      <c r="GN38" s="294"/>
      <c r="GO38" s="294"/>
      <c r="GP38" s="294"/>
      <c r="GQ38" s="294"/>
      <c r="GR38" s="294"/>
      <c r="GS38" s="294"/>
      <c r="GT38" s="294"/>
      <c r="GU38" s="294"/>
      <c r="GV38" s="294"/>
      <c r="GW38" s="294"/>
      <c r="GX38" s="294"/>
      <c r="GY38" s="294"/>
      <c r="GZ38" s="294"/>
      <c r="HA38" s="294"/>
      <c r="HB38" s="294"/>
      <c r="HC38" s="294"/>
      <c r="HD38" s="294"/>
      <c r="HE38" s="294"/>
      <c r="HF38" s="294"/>
      <c r="HG38" s="294"/>
      <c r="HH38" s="294"/>
      <c r="HI38" s="294"/>
      <c r="HJ38" s="294"/>
      <c r="HK38" s="294"/>
      <c r="HL38" s="294"/>
      <c r="HM38" s="294"/>
      <c r="HN38" s="294"/>
      <c r="HO38" s="294"/>
      <c r="HP38" s="294"/>
      <c r="HQ38" s="294"/>
      <c r="HR38" s="294"/>
      <c r="HS38" s="294"/>
      <c r="HT38" s="294"/>
      <c r="HU38" s="294"/>
      <c r="HV38" s="294"/>
      <c r="HW38" s="294"/>
      <c r="HX38" s="294"/>
      <c r="HY38" s="294"/>
      <c r="HZ38" s="294"/>
      <c r="IA38" s="294"/>
      <c r="IB38" s="294"/>
      <c r="IC38" s="294"/>
      <c r="ID38" s="294"/>
      <c r="IE38" s="294"/>
      <c r="IF38" s="294"/>
      <c r="IG38" s="294"/>
      <c r="IH38" s="294"/>
      <c r="II38" s="294"/>
      <c r="IJ38" s="294"/>
      <c r="IK38" s="294"/>
      <c r="IL38" s="294"/>
    </row>
    <row r="39" spans="1:246" s="295" customFormat="1" ht="11.25">
      <c r="A39" s="23" t="s">
        <v>159</v>
      </c>
      <c r="B39" s="24" t="s">
        <v>598</v>
      </c>
      <c r="C39" s="25">
        <v>21599073361</v>
      </c>
      <c r="D39" s="302">
        <v>19694364002</v>
      </c>
      <c r="E39" s="303">
        <v>21182523181</v>
      </c>
      <c r="F39" s="303">
        <v>30724881425</v>
      </c>
      <c r="G39" s="304">
        <v>32489153703</v>
      </c>
      <c r="H39" s="305">
        <v>39541189025</v>
      </c>
      <c r="I39" s="305">
        <f>+'[1]Pro-Blj'!H15</f>
        <v>39541189025</v>
      </c>
      <c r="J39" s="305">
        <f>+'Proyeksi Wajib dan mengikat '!K15</f>
        <v>54966654324</v>
      </c>
      <c r="K39" s="305">
        <f>+'Proyeksi Wajib dan mengikat '!L15</f>
        <v>56112457242.454483</v>
      </c>
      <c r="L39" s="305">
        <f>+'Proyeksi Wajib dan mengikat '!M15</f>
        <v>57208101959.123573</v>
      </c>
      <c r="M39" s="305">
        <f>+'Proyeksi Wajib dan mengikat '!N15</f>
        <v>58325393525.844246</v>
      </c>
      <c r="N39" s="305">
        <f>+'Proyeksi Wajib dan mengikat '!O15</f>
        <v>60186596463.852478</v>
      </c>
      <c r="O39" s="336">
        <f>N39/N$37*100</f>
        <v>12.604423673654303</v>
      </c>
      <c r="P39" s="328"/>
      <c r="Q39" s="336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</row>
    <row r="40" spans="1:246" s="295" customFormat="1" ht="11.25">
      <c r="A40" s="28" t="s">
        <v>160</v>
      </c>
      <c r="B40" s="331" t="s">
        <v>600</v>
      </c>
      <c r="C40" s="30">
        <v>60156883340</v>
      </c>
      <c r="D40" s="30">
        <v>58263468211</v>
      </c>
      <c r="E40" s="31">
        <v>72218629606</v>
      </c>
      <c r="F40" s="31">
        <v>91742510291</v>
      </c>
      <c r="G40" s="306">
        <v>121777498747</v>
      </c>
      <c r="H40" s="305">
        <v>162157140735</v>
      </c>
      <c r="I40" s="305">
        <f>+'[1]Pro-Blj'!H16</f>
        <v>162157140735</v>
      </c>
      <c r="J40" s="305">
        <f>+J38-J39</f>
        <v>416395353530</v>
      </c>
      <c r="K40" s="305">
        <f t="shared" ref="K40:N40" si="16">+K38-K39</f>
        <v>372021780757.54553</v>
      </c>
      <c r="L40" s="305">
        <f t="shared" si="16"/>
        <v>371865934040.8764</v>
      </c>
      <c r="M40" s="305">
        <f t="shared" si="16"/>
        <v>387109303474.15576</v>
      </c>
      <c r="N40" s="305">
        <f t="shared" si="16"/>
        <v>417317159536.14752</v>
      </c>
      <c r="O40" s="336">
        <f t="shared" ref="O40:O41" si="17">N40/N$37*100</f>
        <v>87.39557632634569</v>
      </c>
      <c r="P40" s="328"/>
      <c r="Q40" s="336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  <c r="IG40" s="299"/>
      <c r="IH40" s="299"/>
      <c r="II40" s="299"/>
      <c r="IJ40" s="299"/>
      <c r="IK40" s="299"/>
      <c r="IL40" s="299"/>
    </row>
    <row r="41" spans="1:246" s="295" customFormat="1" ht="11.25" hidden="1">
      <c r="A41" s="33" t="s">
        <v>162</v>
      </c>
      <c r="B41" s="34" t="s">
        <v>163</v>
      </c>
      <c r="C41" s="35">
        <v>119137750216</v>
      </c>
      <c r="D41" s="35">
        <v>95106051367</v>
      </c>
      <c r="E41" s="36">
        <v>44833858413</v>
      </c>
      <c r="F41" s="36">
        <v>93034426998</v>
      </c>
      <c r="G41" s="307">
        <v>162080116908</v>
      </c>
      <c r="H41" s="305">
        <v>228319862598</v>
      </c>
      <c r="I41" s="305">
        <f>+'[1]Pro-Blj'!H17</f>
        <v>228319862598</v>
      </c>
      <c r="J41" s="305" t="s">
        <v>8</v>
      </c>
      <c r="K41" s="305" t="s">
        <v>8</v>
      </c>
      <c r="L41" s="305" t="s">
        <v>8</v>
      </c>
      <c r="M41" s="305" t="s">
        <v>8</v>
      </c>
      <c r="N41" s="305" t="s">
        <v>8</v>
      </c>
      <c r="O41" s="336" t="e">
        <f t="shared" si="17"/>
        <v>#VALUE!</v>
      </c>
      <c r="P41" s="328"/>
      <c r="Q41" s="336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299"/>
      <c r="FG41" s="299"/>
      <c r="FH41" s="299"/>
      <c r="FI41" s="299"/>
      <c r="FJ41" s="299"/>
      <c r="FK41" s="299"/>
      <c r="FL41" s="299"/>
      <c r="FM41" s="299"/>
      <c r="FN41" s="299"/>
      <c r="FO41" s="299"/>
      <c r="FP41" s="299"/>
      <c r="FQ41" s="299"/>
      <c r="FR41" s="299"/>
      <c r="FS41" s="299"/>
      <c r="FT41" s="299"/>
      <c r="FU41" s="299"/>
      <c r="FV41" s="299"/>
      <c r="FW41" s="299"/>
      <c r="FX41" s="299"/>
      <c r="FY41" s="299"/>
      <c r="FZ41" s="299"/>
      <c r="GA41" s="299"/>
      <c r="GB41" s="299"/>
      <c r="GC41" s="299"/>
      <c r="GD41" s="299"/>
      <c r="GE41" s="299"/>
      <c r="GF41" s="299"/>
      <c r="GG41" s="299"/>
      <c r="GH41" s="299"/>
      <c r="GI41" s="299"/>
      <c r="GJ41" s="299"/>
      <c r="GK41" s="299"/>
      <c r="GL41" s="299"/>
      <c r="GM41" s="299"/>
      <c r="GN41" s="299"/>
      <c r="GO41" s="299"/>
      <c r="GP41" s="299"/>
      <c r="GQ41" s="299"/>
      <c r="GR41" s="299"/>
      <c r="GS41" s="299"/>
      <c r="GT41" s="299"/>
      <c r="GU41" s="299"/>
      <c r="GV41" s="299"/>
      <c r="GW41" s="299"/>
      <c r="GX41" s="299"/>
      <c r="GY41" s="299"/>
      <c r="GZ41" s="299"/>
      <c r="HA41" s="299"/>
      <c r="HB41" s="299"/>
      <c r="HC41" s="299"/>
      <c r="HD41" s="299"/>
      <c r="HE41" s="299"/>
      <c r="HF41" s="299"/>
      <c r="HG41" s="299"/>
      <c r="HH41" s="299"/>
      <c r="HI41" s="299"/>
      <c r="HJ41" s="299"/>
      <c r="HK41" s="299"/>
      <c r="HL41" s="299"/>
      <c r="HM41" s="299"/>
      <c r="HN41" s="299"/>
      <c r="HO41" s="299"/>
      <c r="HP41" s="299"/>
      <c r="HQ41" s="299"/>
      <c r="HR41" s="299"/>
      <c r="HS41" s="299"/>
      <c r="HT41" s="299"/>
      <c r="HU41" s="299"/>
      <c r="HV41" s="299"/>
      <c r="HW41" s="299"/>
      <c r="HX41" s="299"/>
      <c r="HY41" s="299"/>
      <c r="HZ41" s="299"/>
      <c r="IA41" s="299"/>
      <c r="IB41" s="299"/>
      <c r="IC41" s="299"/>
      <c r="ID41" s="299"/>
      <c r="IE41" s="299"/>
      <c r="IF41" s="299"/>
      <c r="IG41" s="299"/>
      <c r="IH41" s="299"/>
      <c r="II41" s="299"/>
      <c r="IJ41" s="299"/>
      <c r="IK41" s="299"/>
      <c r="IL41" s="299"/>
    </row>
    <row r="42" spans="1:246" s="295" customFormat="1" ht="11.25">
      <c r="A42" s="308"/>
      <c r="B42" s="309"/>
      <c r="C42" s="298"/>
      <c r="D42" s="298"/>
      <c r="E42" s="299"/>
      <c r="F42" s="299"/>
      <c r="G42" s="299"/>
      <c r="H42" s="299"/>
      <c r="I42" s="299"/>
      <c r="J42" s="337" t="s">
        <v>8</v>
      </c>
      <c r="K42" s="305" t="s">
        <v>8</v>
      </c>
      <c r="L42" s="299"/>
      <c r="M42" s="299"/>
      <c r="N42" s="299" t="s">
        <v>8</v>
      </c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299"/>
      <c r="EK42" s="299"/>
      <c r="EL42" s="299"/>
      <c r="EM42" s="299"/>
      <c r="EN42" s="299"/>
      <c r="EO42" s="299"/>
      <c r="EP42" s="299"/>
      <c r="EQ42" s="299"/>
      <c r="ER42" s="299"/>
      <c r="ES42" s="299"/>
      <c r="ET42" s="299"/>
      <c r="EU42" s="299"/>
      <c r="EV42" s="299"/>
      <c r="EW42" s="299"/>
      <c r="EX42" s="299"/>
      <c r="EY42" s="299"/>
      <c r="EZ42" s="299"/>
      <c r="FA42" s="299"/>
      <c r="FB42" s="299"/>
      <c r="FC42" s="299"/>
      <c r="FD42" s="299"/>
      <c r="FE42" s="299"/>
      <c r="FF42" s="299"/>
      <c r="FG42" s="299"/>
      <c r="FH42" s="299"/>
      <c r="FI42" s="299"/>
      <c r="FJ42" s="299"/>
      <c r="FK42" s="299"/>
      <c r="FL42" s="299"/>
      <c r="FM42" s="299"/>
      <c r="FN42" s="299"/>
      <c r="FO42" s="299"/>
      <c r="FP42" s="299"/>
      <c r="FQ42" s="299"/>
      <c r="FR42" s="299"/>
      <c r="FS42" s="299"/>
      <c r="FT42" s="299"/>
      <c r="FU42" s="299"/>
      <c r="FV42" s="299"/>
      <c r="FW42" s="299"/>
      <c r="FX42" s="299"/>
      <c r="FY42" s="299"/>
      <c r="FZ42" s="299"/>
      <c r="GA42" s="299"/>
      <c r="GB42" s="299"/>
      <c r="GC42" s="299"/>
      <c r="GD42" s="299"/>
      <c r="GE42" s="299"/>
      <c r="GF42" s="299"/>
      <c r="GG42" s="299"/>
      <c r="GH42" s="299"/>
      <c r="GI42" s="299"/>
      <c r="GJ42" s="299"/>
      <c r="GK42" s="299"/>
      <c r="GL42" s="299"/>
      <c r="GM42" s="299"/>
      <c r="GN42" s="299"/>
      <c r="GO42" s="299"/>
      <c r="GP42" s="299"/>
      <c r="GQ42" s="299"/>
      <c r="GR42" s="299"/>
      <c r="GS42" s="299"/>
      <c r="GT42" s="299"/>
      <c r="GU42" s="299"/>
      <c r="GV42" s="299"/>
      <c r="GW42" s="299"/>
      <c r="GX42" s="299"/>
      <c r="GY42" s="299"/>
      <c r="GZ42" s="299"/>
      <c r="HA42" s="299"/>
      <c r="HB42" s="299"/>
      <c r="HC42" s="299"/>
      <c r="HD42" s="299"/>
      <c r="HE42" s="299"/>
      <c r="HF42" s="299"/>
      <c r="HG42" s="299"/>
      <c r="HH42" s="299"/>
      <c r="HI42" s="299"/>
      <c r="HJ42" s="299"/>
      <c r="HK42" s="299"/>
      <c r="HL42" s="299"/>
      <c r="HM42" s="299"/>
      <c r="HN42" s="299"/>
      <c r="HO42" s="299"/>
      <c r="HP42" s="299"/>
      <c r="HQ42" s="299"/>
      <c r="HR42" s="299"/>
      <c r="HS42" s="299"/>
      <c r="HT42" s="299"/>
      <c r="HU42" s="299"/>
      <c r="HV42" s="299"/>
      <c r="HW42" s="299"/>
      <c r="HX42" s="299"/>
      <c r="HY42" s="299"/>
      <c r="HZ42" s="299"/>
      <c r="IA42" s="299"/>
      <c r="IB42" s="299"/>
      <c r="IC42" s="299"/>
      <c r="ID42" s="299"/>
      <c r="IE42" s="299"/>
      <c r="IF42" s="299"/>
      <c r="IG42" s="299"/>
      <c r="IH42" s="299"/>
      <c r="II42" s="299"/>
      <c r="IJ42" s="299"/>
      <c r="IK42" s="299"/>
      <c r="IL42" s="299"/>
    </row>
    <row r="43" spans="1:246" s="295" customFormat="1" ht="11.25">
      <c r="A43" s="308"/>
      <c r="B43" s="309" t="s">
        <v>449</v>
      </c>
      <c r="C43" s="298">
        <f>+C5-C23</f>
        <v>-34742753943</v>
      </c>
      <c r="D43" s="298">
        <f t="shared" ref="D43:I43" si="18">+D5-D23</f>
        <v>16156252232</v>
      </c>
      <c r="E43" s="298">
        <f t="shared" si="18"/>
        <v>13455855529</v>
      </c>
      <c r="F43" s="298">
        <f t="shared" si="18"/>
        <v>7319341079</v>
      </c>
      <c r="G43" s="298">
        <f t="shared" si="18"/>
        <v>10491413695</v>
      </c>
      <c r="H43" s="298">
        <f t="shared" si="18"/>
        <v>-1175501480149.0601</v>
      </c>
      <c r="I43" s="298">
        <f t="shared" si="18"/>
        <v>-136329042163</v>
      </c>
      <c r="J43" s="298">
        <f>+J5-J23</f>
        <v>-99022418350</v>
      </c>
      <c r="K43" s="298">
        <f>+K5-K23+1</f>
        <v>-17499999999.7854</v>
      </c>
      <c r="L43" s="298">
        <f t="shared" ref="L43:N43" si="19">+L5-L23</f>
        <v>9500000000.4731445</v>
      </c>
      <c r="M43" s="298">
        <f t="shared" si="19"/>
        <v>9499999999.7202148</v>
      </c>
      <c r="N43" s="298">
        <f t="shared" si="19"/>
        <v>-13999999999.845215</v>
      </c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299"/>
      <c r="EL43" s="299"/>
      <c r="EM43" s="299"/>
      <c r="EN43" s="299"/>
      <c r="EO43" s="299"/>
      <c r="EP43" s="299"/>
      <c r="EQ43" s="299"/>
      <c r="ER43" s="299"/>
      <c r="ES43" s="299"/>
      <c r="ET43" s="299"/>
      <c r="EU43" s="299"/>
      <c r="EV43" s="299"/>
      <c r="EW43" s="299"/>
      <c r="EX43" s="299"/>
      <c r="EY43" s="299"/>
      <c r="EZ43" s="299"/>
      <c r="FA43" s="299"/>
      <c r="FB43" s="299"/>
      <c r="FC43" s="299"/>
      <c r="FD43" s="299"/>
      <c r="FE43" s="299"/>
      <c r="FF43" s="299"/>
      <c r="FG43" s="299"/>
      <c r="FH43" s="299"/>
      <c r="FI43" s="299"/>
      <c r="FJ43" s="299"/>
      <c r="FK43" s="299"/>
      <c r="FL43" s="299"/>
      <c r="FM43" s="299"/>
      <c r="FN43" s="299"/>
      <c r="FO43" s="299"/>
      <c r="FP43" s="299"/>
      <c r="FQ43" s="299"/>
      <c r="FR43" s="299"/>
      <c r="FS43" s="299"/>
      <c r="FT43" s="299"/>
      <c r="FU43" s="299"/>
      <c r="FV43" s="299"/>
      <c r="FW43" s="299"/>
      <c r="FX43" s="299"/>
      <c r="FY43" s="299"/>
      <c r="FZ43" s="299"/>
      <c r="GA43" s="299"/>
      <c r="GB43" s="299"/>
      <c r="GC43" s="299"/>
      <c r="GD43" s="299"/>
      <c r="GE43" s="299"/>
      <c r="GF43" s="299"/>
      <c r="GG43" s="299"/>
      <c r="GH43" s="299"/>
      <c r="GI43" s="299"/>
      <c r="GJ43" s="299"/>
      <c r="GK43" s="299"/>
      <c r="GL43" s="299"/>
      <c r="GM43" s="299"/>
      <c r="GN43" s="299"/>
      <c r="GO43" s="299"/>
      <c r="GP43" s="299"/>
      <c r="GQ43" s="299"/>
      <c r="GR43" s="299"/>
      <c r="GS43" s="299"/>
      <c r="GT43" s="299"/>
      <c r="GU43" s="299"/>
      <c r="GV43" s="299"/>
      <c r="GW43" s="299"/>
      <c r="GX43" s="299"/>
      <c r="GY43" s="299"/>
      <c r="GZ43" s="299"/>
      <c r="HA43" s="299"/>
      <c r="HB43" s="299"/>
      <c r="HC43" s="299"/>
      <c r="HD43" s="299"/>
      <c r="HE43" s="299"/>
      <c r="HF43" s="299"/>
      <c r="HG43" s="299"/>
      <c r="HH43" s="299"/>
      <c r="HI43" s="299"/>
      <c r="HJ43" s="299"/>
      <c r="HK43" s="299"/>
      <c r="HL43" s="299"/>
      <c r="HM43" s="299"/>
      <c r="HN43" s="299"/>
      <c r="HO43" s="299"/>
      <c r="HP43" s="299"/>
      <c r="HQ43" s="299"/>
      <c r="HR43" s="299"/>
      <c r="HS43" s="299"/>
      <c r="HT43" s="299"/>
      <c r="HU43" s="299"/>
      <c r="HV43" s="299"/>
      <c r="HW43" s="299"/>
      <c r="HX43" s="299"/>
      <c r="HY43" s="299"/>
      <c r="HZ43" s="299"/>
      <c r="IA43" s="299"/>
      <c r="IB43" s="299"/>
      <c r="IC43" s="299"/>
      <c r="ID43" s="299"/>
      <c r="IE43" s="299"/>
      <c r="IF43" s="299"/>
      <c r="IG43" s="299"/>
      <c r="IH43" s="299"/>
      <c r="II43" s="299"/>
      <c r="IJ43" s="299"/>
      <c r="IK43" s="299"/>
      <c r="IL43" s="299"/>
    </row>
    <row r="44" spans="1:246" s="295" customFormat="1" ht="11.25">
      <c r="A44" s="308"/>
      <c r="B44" s="309"/>
      <c r="C44" s="298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299"/>
      <c r="EK44" s="299"/>
      <c r="EL44" s="299"/>
      <c r="EM44" s="299"/>
      <c r="EN44" s="299"/>
      <c r="EO44" s="299"/>
      <c r="EP44" s="299"/>
      <c r="EQ44" s="299"/>
      <c r="ER44" s="299"/>
      <c r="ES44" s="299"/>
      <c r="ET44" s="299"/>
      <c r="EU44" s="299"/>
      <c r="EV44" s="299"/>
      <c r="EW44" s="299"/>
      <c r="EX44" s="299"/>
      <c r="EY44" s="299"/>
      <c r="EZ44" s="299"/>
      <c r="FA44" s="299"/>
      <c r="FB44" s="299"/>
      <c r="FC44" s="299"/>
      <c r="FD44" s="299"/>
      <c r="FE44" s="299"/>
      <c r="FF44" s="299"/>
      <c r="FG44" s="299"/>
      <c r="FH44" s="299"/>
      <c r="FI44" s="299"/>
      <c r="FJ44" s="299"/>
      <c r="FK44" s="299"/>
      <c r="FL44" s="299"/>
      <c r="FM44" s="299"/>
      <c r="FN44" s="299"/>
      <c r="FO44" s="299"/>
      <c r="FP44" s="299"/>
      <c r="FQ44" s="299"/>
      <c r="FR44" s="299"/>
      <c r="FS44" s="299"/>
      <c r="FT44" s="299"/>
      <c r="FU44" s="299"/>
      <c r="FV44" s="299"/>
      <c r="FW44" s="299"/>
      <c r="FX44" s="299"/>
      <c r="FY44" s="299"/>
      <c r="FZ44" s="299"/>
      <c r="GA44" s="299"/>
      <c r="GB44" s="299"/>
      <c r="GC44" s="299"/>
      <c r="GD44" s="299"/>
      <c r="GE44" s="299"/>
      <c r="GF44" s="299"/>
      <c r="GG44" s="299"/>
      <c r="GH44" s="299"/>
      <c r="GI44" s="299"/>
      <c r="GJ44" s="299"/>
      <c r="GK44" s="299"/>
      <c r="GL44" s="299"/>
      <c r="GM44" s="299"/>
      <c r="GN44" s="299"/>
      <c r="GO44" s="299"/>
      <c r="GP44" s="299"/>
      <c r="GQ44" s="299"/>
      <c r="GR44" s="299"/>
      <c r="GS44" s="299"/>
      <c r="GT44" s="299"/>
      <c r="GU44" s="299"/>
      <c r="GV44" s="299"/>
      <c r="GW44" s="299"/>
      <c r="GX44" s="299"/>
      <c r="GY44" s="299"/>
      <c r="GZ44" s="299"/>
      <c r="HA44" s="299"/>
      <c r="HB44" s="299"/>
      <c r="HC44" s="299"/>
      <c r="HD44" s="299"/>
      <c r="HE44" s="299"/>
      <c r="HF44" s="299"/>
      <c r="HG44" s="299"/>
      <c r="HH44" s="299"/>
      <c r="HI44" s="299"/>
      <c r="HJ44" s="299"/>
      <c r="HK44" s="299"/>
      <c r="HL44" s="299"/>
      <c r="HM44" s="299"/>
      <c r="HN44" s="299"/>
      <c r="HO44" s="299"/>
      <c r="HP44" s="299"/>
      <c r="HQ44" s="299"/>
      <c r="HR44" s="299"/>
      <c r="HS44" s="299"/>
      <c r="HT44" s="299"/>
      <c r="HU44" s="299"/>
      <c r="HV44" s="299"/>
      <c r="HW44" s="299"/>
      <c r="HX44" s="299"/>
      <c r="HY44" s="299"/>
      <c r="HZ44" s="299"/>
      <c r="IA44" s="299"/>
      <c r="IB44" s="299"/>
      <c r="IC44" s="299"/>
      <c r="ID44" s="299"/>
      <c r="IE44" s="299"/>
      <c r="IF44" s="299"/>
      <c r="IG44" s="299"/>
      <c r="IH44" s="299"/>
      <c r="II44" s="299"/>
      <c r="IJ44" s="299"/>
      <c r="IK44" s="299"/>
      <c r="IL44" s="299"/>
    </row>
    <row r="45" spans="1:246" s="295" customFormat="1" ht="11.25">
      <c r="A45" s="300" t="s">
        <v>106</v>
      </c>
      <c r="B45" s="18" t="s">
        <v>142</v>
      </c>
      <c r="C45" s="301">
        <v>2008</v>
      </c>
      <c r="D45" s="301">
        <v>2009</v>
      </c>
      <c r="E45" s="300">
        <v>2010</v>
      </c>
      <c r="F45" s="300">
        <v>2011</v>
      </c>
      <c r="G45" s="301">
        <v>2012</v>
      </c>
      <c r="H45" s="299">
        <v>2013</v>
      </c>
      <c r="I45" s="299">
        <v>2013</v>
      </c>
      <c r="J45" s="299">
        <v>2014</v>
      </c>
      <c r="K45" s="299">
        <v>2015</v>
      </c>
      <c r="L45" s="299">
        <v>2016</v>
      </c>
      <c r="M45" s="299">
        <v>2017</v>
      </c>
      <c r="N45" s="299">
        <v>2018</v>
      </c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299"/>
      <c r="EL45" s="299"/>
      <c r="EM45" s="299"/>
      <c r="EN45" s="299"/>
      <c r="EO45" s="299"/>
      <c r="EP45" s="299"/>
      <c r="EQ45" s="299"/>
      <c r="ER45" s="299"/>
      <c r="ES45" s="299"/>
      <c r="ET45" s="299"/>
      <c r="EU45" s="299"/>
      <c r="EV45" s="299"/>
      <c r="EW45" s="299"/>
      <c r="EX45" s="299"/>
      <c r="EY45" s="299"/>
      <c r="EZ45" s="299"/>
      <c r="FA45" s="299"/>
      <c r="FB45" s="299"/>
      <c r="FC45" s="299"/>
      <c r="FD45" s="299"/>
      <c r="FE45" s="299"/>
      <c r="FF45" s="299"/>
      <c r="FG45" s="299"/>
      <c r="FH45" s="299"/>
      <c r="FI45" s="299"/>
      <c r="FJ45" s="299"/>
      <c r="FK45" s="299"/>
      <c r="FL45" s="299"/>
      <c r="FM45" s="299"/>
      <c r="FN45" s="299"/>
      <c r="FO45" s="299"/>
      <c r="FP45" s="299"/>
      <c r="FQ45" s="299"/>
      <c r="FR45" s="299"/>
      <c r="FS45" s="299"/>
      <c r="FT45" s="299"/>
      <c r="FU45" s="299"/>
      <c r="FV45" s="299"/>
      <c r="FW45" s="299"/>
      <c r="FX45" s="299"/>
      <c r="FY45" s="299"/>
      <c r="FZ45" s="299"/>
      <c r="GA45" s="299"/>
      <c r="GB45" s="299"/>
      <c r="GC45" s="299"/>
      <c r="GD45" s="299"/>
      <c r="GE45" s="299"/>
      <c r="GF45" s="299"/>
      <c r="GG45" s="299"/>
      <c r="GH45" s="299"/>
      <c r="GI45" s="299"/>
      <c r="GJ45" s="299"/>
      <c r="GK45" s="299"/>
      <c r="GL45" s="299"/>
      <c r="GM45" s="299"/>
      <c r="GN45" s="299"/>
      <c r="GO45" s="299"/>
      <c r="GP45" s="299"/>
      <c r="GQ45" s="299"/>
      <c r="GR45" s="299"/>
      <c r="GS45" s="299"/>
      <c r="GT45" s="299"/>
      <c r="GU45" s="299"/>
      <c r="GV45" s="299"/>
      <c r="GW45" s="299"/>
      <c r="GX45" s="299"/>
      <c r="GY45" s="299"/>
      <c r="GZ45" s="299"/>
      <c r="HA45" s="299"/>
      <c r="HB45" s="299"/>
      <c r="HC45" s="299"/>
      <c r="HD45" s="299"/>
      <c r="HE45" s="299"/>
      <c r="HF45" s="299"/>
      <c r="HG45" s="299"/>
      <c r="HH45" s="299"/>
      <c r="HI45" s="299"/>
      <c r="HJ45" s="299"/>
      <c r="HK45" s="299"/>
      <c r="HL45" s="299"/>
      <c r="HM45" s="299"/>
      <c r="HN45" s="299"/>
      <c r="HO45" s="299"/>
      <c r="HP45" s="299"/>
      <c r="HQ45" s="299"/>
      <c r="HR45" s="299"/>
      <c r="HS45" s="299"/>
      <c r="HT45" s="299"/>
      <c r="HU45" s="299"/>
      <c r="HV45" s="299"/>
      <c r="HW45" s="299"/>
      <c r="HX45" s="299"/>
      <c r="HY45" s="299"/>
      <c r="HZ45" s="299"/>
      <c r="IA45" s="299"/>
      <c r="IB45" s="299"/>
      <c r="IC45" s="299"/>
      <c r="ID45" s="299"/>
      <c r="IE45" s="299"/>
      <c r="IF45" s="299"/>
      <c r="IG45" s="299"/>
      <c r="IH45" s="299"/>
      <c r="II45" s="299"/>
      <c r="IJ45" s="299"/>
      <c r="IK45" s="299"/>
      <c r="IL45" s="299"/>
    </row>
    <row r="46" spans="1:246" s="341" customFormat="1" ht="31.5" customHeight="1">
      <c r="A46" s="338" t="s">
        <v>450</v>
      </c>
      <c r="B46" s="339" t="s">
        <v>451</v>
      </c>
      <c r="C46" s="340">
        <f>C47-C54</f>
        <v>64966037951</v>
      </c>
      <c r="D46" s="340">
        <f t="shared" ref="D46:N46" si="20">D47-D54</f>
        <v>23623601419</v>
      </c>
      <c r="E46" s="340">
        <f t="shared" si="20"/>
        <v>32765542921</v>
      </c>
      <c r="F46" s="340">
        <f t="shared" si="20"/>
        <v>36837479870</v>
      </c>
      <c r="G46" s="340">
        <f t="shared" si="20"/>
        <v>31285133560</v>
      </c>
      <c r="H46" s="340">
        <f t="shared" si="20"/>
        <v>0</v>
      </c>
      <c r="I46" s="340">
        <f t="shared" si="20"/>
        <v>136329042163</v>
      </c>
      <c r="J46" s="340">
        <f t="shared" si="20"/>
        <v>99022418350</v>
      </c>
      <c r="K46" s="340">
        <f t="shared" si="20"/>
        <v>17500000000</v>
      </c>
      <c r="L46" s="340">
        <f t="shared" si="20"/>
        <v>-9500000000</v>
      </c>
      <c r="M46" s="340">
        <f t="shared" si="20"/>
        <v>-9500000000</v>
      </c>
      <c r="N46" s="340">
        <f t="shared" si="20"/>
        <v>14000000000</v>
      </c>
    </row>
    <row r="47" spans="1:246" s="341" customFormat="1" ht="26.25" customHeight="1">
      <c r="A47" s="342" t="s">
        <v>452</v>
      </c>
      <c r="B47" s="343" t="s">
        <v>453</v>
      </c>
      <c r="C47" s="344">
        <f>SUM(C48:C52)</f>
        <v>70661542087</v>
      </c>
      <c r="D47" s="344">
        <f t="shared" ref="D47:N47" si="21">SUM(D48:D52)</f>
        <v>32862368468</v>
      </c>
      <c r="E47" s="344">
        <f t="shared" si="21"/>
        <v>40192735521</v>
      </c>
      <c r="F47" s="344">
        <f t="shared" si="21"/>
        <v>46485138890</v>
      </c>
      <c r="G47" s="344">
        <f t="shared" si="21"/>
        <v>46248247504</v>
      </c>
      <c r="H47" s="344">
        <f t="shared" si="21"/>
        <v>0</v>
      </c>
      <c r="I47" s="344">
        <f t="shared" si="21"/>
        <v>145787728270</v>
      </c>
      <c r="J47" s="344">
        <f t="shared" si="21"/>
        <v>107522418350</v>
      </c>
      <c r="K47" s="344">
        <f t="shared" si="21"/>
        <v>44500000000</v>
      </c>
      <c r="L47" s="344">
        <f t="shared" si="21"/>
        <v>31000000000</v>
      </c>
      <c r="M47" s="344">
        <f t="shared" si="21"/>
        <v>31000000000</v>
      </c>
      <c r="N47" s="344">
        <f t="shared" si="21"/>
        <v>47000000000</v>
      </c>
    </row>
    <row r="48" spans="1:246" s="349" customFormat="1" ht="36">
      <c r="A48" s="345" t="s">
        <v>454</v>
      </c>
      <c r="B48" s="346" t="s">
        <v>455</v>
      </c>
      <c r="C48" s="347">
        <v>56880649463</v>
      </c>
      <c r="D48" s="348">
        <v>30233284008</v>
      </c>
      <c r="E48" s="348">
        <v>39779853641</v>
      </c>
      <c r="F48" s="348">
        <f>+E61</f>
        <v>46221398450</v>
      </c>
      <c r="G48" s="348">
        <f>+F61</f>
        <v>44156820949</v>
      </c>
      <c r="H48" s="348"/>
      <c r="I48" s="348">
        <f>+G61</f>
        <v>41776547255</v>
      </c>
      <c r="J48" s="348">
        <f>15022418350+12000000000</f>
        <v>27022418350</v>
      </c>
      <c r="K48" s="348">
        <v>27000000000</v>
      </c>
      <c r="L48" s="348">
        <v>27000000000</v>
      </c>
      <c r="M48" s="348">
        <v>27000000000</v>
      </c>
      <c r="N48" s="348">
        <v>27000000000</v>
      </c>
    </row>
    <row r="49" spans="1:16" s="349" customFormat="1" ht="13.5" customHeight="1">
      <c r="A49" s="350" t="s">
        <v>456</v>
      </c>
      <c r="B49" s="351" t="s">
        <v>457</v>
      </c>
      <c r="C49" s="352">
        <v>10426478900</v>
      </c>
      <c r="D49" s="348"/>
      <c r="E49" s="348"/>
      <c r="F49" s="348"/>
      <c r="G49" s="348"/>
      <c r="H49" s="348"/>
      <c r="I49" s="348">
        <v>12960094515</v>
      </c>
      <c r="J49" s="348">
        <v>0</v>
      </c>
      <c r="K49" s="348"/>
      <c r="L49" s="348"/>
      <c r="M49" s="348">
        <v>0</v>
      </c>
      <c r="N49" s="348">
        <v>16000000000</v>
      </c>
    </row>
    <row r="50" spans="1:16" s="349" customFormat="1" ht="24">
      <c r="A50" s="350" t="s">
        <v>458</v>
      </c>
      <c r="B50" s="353" t="s">
        <v>459</v>
      </c>
      <c r="C50" s="352">
        <v>0</v>
      </c>
      <c r="D50" s="348"/>
      <c r="E50" s="348"/>
      <c r="F50" s="348"/>
      <c r="G50" s="348"/>
      <c r="H50" s="348"/>
      <c r="I50" s="348">
        <v>878651500</v>
      </c>
      <c r="J50" s="348">
        <v>4000000000</v>
      </c>
      <c r="K50" s="348">
        <v>4000000000</v>
      </c>
      <c r="L50" s="348">
        <v>4000000000</v>
      </c>
      <c r="M50" s="348">
        <v>4000000000</v>
      </c>
      <c r="N50" s="348">
        <v>4000000000</v>
      </c>
    </row>
    <row r="51" spans="1:16" s="349" customFormat="1" ht="24">
      <c r="A51" s="350" t="s">
        <v>460</v>
      </c>
      <c r="B51" s="351" t="s">
        <v>461</v>
      </c>
      <c r="C51" s="352">
        <v>0</v>
      </c>
      <c r="D51" s="348">
        <v>2629084460</v>
      </c>
      <c r="E51" s="348">
        <v>412881880</v>
      </c>
      <c r="F51" s="348">
        <v>263740440</v>
      </c>
      <c r="G51" s="348"/>
      <c r="H51" s="348"/>
      <c r="I51" s="348">
        <v>90172435000</v>
      </c>
      <c r="J51" s="348">
        <v>76500000000</v>
      </c>
      <c r="K51" s="348">
        <v>13500000000</v>
      </c>
      <c r="L51" s="348">
        <v>0</v>
      </c>
      <c r="M51" s="348">
        <v>0</v>
      </c>
      <c r="N51" s="348">
        <v>0</v>
      </c>
      <c r="O51" s="354"/>
      <c r="P51" s="354"/>
    </row>
    <row r="52" spans="1:16" s="349" customFormat="1" ht="13.5" customHeight="1">
      <c r="A52" s="355" t="s">
        <v>462</v>
      </c>
      <c r="B52" s="356" t="s">
        <v>463</v>
      </c>
      <c r="C52" s="357">
        <v>3354413724</v>
      </c>
      <c r="D52" s="348"/>
      <c r="E52" s="348"/>
      <c r="F52" s="348"/>
      <c r="G52" s="348">
        <v>2091426555</v>
      </c>
      <c r="H52" s="348"/>
      <c r="I52" s="348"/>
      <c r="J52" s="348"/>
      <c r="K52" s="348"/>
      <c r="L52" s="348"/>
      <c r="M52" s="348"/>
      <c r="N52" s="348"/>
    </row>
    <row r="53" spans="1:16" s="349" customFormat="1" ht="3" customHeight="1">
      <c r="A53" s="358"/>
      <c r="B53" s="359"/>
      <c r="C53" s="360"/>
      <c r="E53" s="361"/>
      <c r="K53" s="348"/>
      <c r="L53" s="348"/>
      <c r="M53" s="348"/>
      <c r="N53" s="348"/>
    </row>
    <row r="54" spans="1:16" s="341" customFormat="1" ht="27" customHeight="1">
      <c r="A54" s="342" t="s">
        <v>464</v>
      </c>
      <c r="B54" s="343" t="s">
        <v>465</v>
      </c>
      <c r="C54" s="344">
        <f>SUM(C55:C59)</f>
        <v>5695504136</v>
      </c>
      <c r="D54" s="344">
        <f t="shared" ref="D54:N54" si="22">SUM(D55:D59)</f>
        <v>9238767049</v>
      </c>
      <c r="E54" s="344">
        <f t="shared" si="22"/>
        <v>7427192600</v>
      </c>
      <c r="F54" s="344">
        <f t="shared" si="22"/>
        <v>9647659020</v>
      </c>
      <c r="G54" s="344">
        <f t="shared" si="22"/>
        <v>14963113944</v>
      </c>
      <c r="H54" s="344">
        <f t="shared" si="22"/>
        <v>0</v>
      </c>
      <c r="I54" s="344">
        <f t="shared" si="22"/>
        <v>9458686107</v>
      </c>
      <c r="J54" s="344">
        <f t="shared" si="22"/>
        <v>8500000000</v>
      </c>
      <c r="K54" s="344">
        <f t="shared" si="22"/>
        <v>27000000000</v>
      </c>
      <c r="L54" s="344">
        <f t="shared" si="22"/>
        <v>40500000000</v>
      </c>
      <c r="M54" s="344">
        <f t="shared" si="22"/>
        <v>40500000000</v>
      </c>
      <c r="N54" s="344">
        <f t="shared" si="22"/>
        <v>33000000000</v>
      </c>
    </row>
    <row r="55" spans="1:16" s="349" customFormat="1" ht="13.5" customHeight="1">
      <c r="A55" s="345" t="s">
        <v>466</v>
      </c>
      <c r="B55" s="346" t="s">
        <v>3</v>
      </c>
      <c r="C55" s="362">
        <v>0</v>
      </c>
      <c r="D55" s="349">
        <v>0</v>
      </c>
      <c r="E55" s="361"/>
      <c r="F55" s="348">
        <v>5000000000</v>
      </c>
      <c r="G55" s="348">
        <v>7826780813</v>
      </c>
      <c r="H55" s="348"/>
      <c r="I55" s="348">
        <v>0</v>
      </c>
      <c r="J55" s="348"/>
      <c r="K55" s="348"/>
      <c r="L55" s="348">
        <v>7500000000</v>
      </c>
      <c r="M55" s="348">
        <v>7500000000</v>
      </c>
      <c r="N55" s="348">
        <v>0</v>
      </c>
    </row>
    <row r="56" spans="1:16" s="349" customFormat="1" ht="24">
      <c r="A56" s="350" t="s">
        <v>467</v>
      </c>
      <c r="B56" s="353" t="s">
        <v>468</v>
      </c>
      <c r="C56" s="363">
        <v>2808209990</v>
      </c>
      <c r="D56" s="364">
        <v>4012700750</v>
      </c>
      <c r="E56" s="348">
        <v>4860240000</v>
      </c>
      <c r="F56" s="348">
        <v>2515000000</v>
      </c>
      <c r="G56" s="348">
        <v>3004945750</v>
      </c>
      <c r="H56" s="348"/>
      <c r="I56" s="348">
        <v>4533609000</v>
      </c>
      <c r="J56" s="348">
        <v>4500000000</v>
      </c>
      <c r="K56" s="348">
        <v>5000000000</v>
      </c>
      <c r="L56" s="348">
        <v>5000000000</v>
      </c>
      <c r="M56" s="348">
        <v>5000000000</v>
      </c>
      <c r="N56" s="348">
        <v>5000000000</v>
      </c>
    </row>
    <row r="57" spans="1:16" s="349" customFormat="1" ht="13.5" customHeight="1">
      <c r="A57" s="365" t="s">
        <v>469</v>
      </c>
      <c r="B57" s="366" t="s">
        <v>470</v>
      </c>
      <c r="C57" s="367">
        <v>0</v>
      </c>
      <c r="D57" s="364">
        <v>1216506415</v>
      </c>
      <c r="E57" s="348"/>
      <c r="F57" s="348"/>
      <c r="G57" s="348"/>
      <c r="H57" s="348"/>
      <c r="I57" s="348"/>
      <c r="J57" s="348"/>
      <c r="K57" s="348">
        <f>+M126*1000000</f>
        <v>18000000000</v>
      </c>
      <c r="L57" s="348">
        <f>+M127*1000000</f>
        <v>24000000000</v>
      </c>
      <c r="M57" s="348">
        <f>+M128*1000000</f>
        <v>24000000000</v>
      </c>
      <c r="N57" s="348">
        <f>+M129*1000000</f>
        <v>24000000000</v>
      </c>
    </row>
    <row r="58" spans="1:16" s="349" customFormat="1" ht="13.5" customHeight="1">
      <c r="A58" s="350" t="s">
        <v>471</v>
      </c>
      <c r="B58" s="366" t="s">
        <v>472</v>
      </c>
      <c r="C58" s="367">
        <v>0</v>
      </c>
      <c r="D58" s="364">
        <v>0</v>
      </c>
      <c r="E58" s="348"/>
      <c r="F58" s="348"/>
      <c r="G58" s="348"/>
      <c r="H58" s="348"/>
      <c r="I58" s="348"/>
      <c r="J58" s="348"/>
      <c r="K58" s="348"/>
      <c r="L58" s="348"/>
      <c r="M58" s="348"/>
      <c r="N58" s="348"/>
    </row>
    <row r="59" spans="1:16" s="349" customFormat="1" ht="13.5" customHeight="1">
      <c r="A59" s="365" t="s">
        <v>473</v>
      </c>
      <c r="B59" s="366" t="s">
        <v>474</v>
      </c>
      <c r="C59" s="367">
        <v>2887294146</v>
      </c>
      <c r="D59" s="364">
        <v>4009559884</v>
      </c>
      <c r="E59" s="348">
        <v>2566952600</v>
      </c>
      <c r="F59" s="348">
        <v>2132659020</v>
      </c>
      <c r="G59" s="348">
        <v>4131387381</v>
      </c>
      <c r="H59" s="348"/>
      <c r="I59" s="348">
        <v>4925077107</v>
      </c>
      <c r="J59" s="348">
        <v>4000000000</v>
      </c>
      <c r="K59" s="348">
        <v>4000000000</v>
      </c>
      <c r="L59" s="348">
        <v>4000000000</v>
      </c>
      <c r="M59" s="348">
        <v>4000000000</v>
      </c>
      <c r="N59" s="348">
        <v>4000000000</v>
      </c>
    </row>
    <row r="60" spans="1:16" s="341" customFormat="1" ht="4.5" customHeight="1">
      <c r="A60" s="368"/>
      <c r="B60" s="369"/>
      <c r="C60" s="370"/>
      <c r="E60" s="371"/>
      <c r="K60" s="372"/>
      <c r="L60" s="372"/>
      <c r="M60" s="372"/>
      <c r="N60" s="372"/>
    </row>
    <row r="61" spans="1:16" s="341" customFormat="1" ht="34.5" customHeight="1">
      <c r="A61" s="373"/>
      <c r="B61" s="374" t="s">
        <v>475</v>
      </c>
      <c r="C61" s="375">
        <f>+C46+C43</f>
        <v>30223284008</v>
      </c>
      <c r="D61" s="375">
        <f t="shared" ref="D61:N61" si="23">+D46+D43</f>
        <v>39779853651</v>
      </c>
      <c r="E61" s="375">
        <f t="shared" si="23"/>
        <v>46221398450</v>
      </c>
      <c r="F61" s="375">
        <f t="shared" si="23"/>
        <v>44156820949</v>
      </c>
      <c r="G61" s="375">
        <f t="shared" si="23"/>
        <v>41776547255</v>
      </c>
      <c r="H61" s="375">
        <f t="shared" si="23"/>
        <v>-1175501480149.0601</v>
      </c>
      <c r="I61" s="375">
        <f t="shared" si="23"/>
        <v>0</v>
      </c>
      <c r="J61" s="375">
        <f t="shared" si="23"/>
        <v>0</v>
      </c>
      <c r="K61" s="376">
        <f t="shared" si="23"/>
        <v>0.214599609375</v>
      </c>
      <c r="L61" s="376">
        <f t="shared" si="23"/>
        <v>0.47314453125</v>
      </c>
      <c r="M61" s="377">
        <f t="shared" si="23"/>
        <v>-0.27978515625</v>
      </c>
      <c r="N61" s="376">
        <f t="shared" si="23"/>
        <v>0.15478515625</v>
      </c>
    </row>
    <row r="62" spans="1:16" s="349" customFormat="1" ht="21" customHeight="1">
      <c r="A62" s="378"/>
      <c r="B62" s="379"/>
      <c r="C62" s="361"/>
      <c r="E62" s="361"/>
    </row>
    <row r="63" spans="1:16" s="349" customFormat="1" ht="21" customHeight="1">
      <c r="A63" s="380"/>
      <c r="B63" s="381"/>
      <c r="C63" s="361"/>
      <c r="E63" s="361"/>
      <c r="J63" s="348">
        <v>1241502583300</v>
      </c>
      <c r="K63" s="348">
        <v>1292507530999.5481</v>
      </c>
      <c r="L63" s="348">
        <v>1348992595000.4731</v>
      </c>
      <c r="M63" s="348">
        <v>1414602906000.0952</v>
      </c>
      <c r="N63" s="348">
        <v>1511813082250.4517</v>
      </c>
    </row>
    <row r="64" spans="1:16" s="349" customFormat="1" ht="21" customHeight="1">
      <c r="A64" s="380"/>
      <c r="B64" s="382" t="s">
        <v>601</v>
      </c>
      <c r="C64" s="361"/>
      <c r="E64" s="361"/>
      <c r="J64" s="383">
        <f>+J5+J48+J50+J51+J49</f>
        <v>1241502583300</v>
      </c>
      <c r="K64" s="383">
        <f t="shared" ref="K64:N64" si="24">+K5+K48+K50+K51+K49</f>
        <v>1292507530999.5481</v>
      </c>
      <c r="L64" s="383">
        <f t="shared" si="24"/>
        <v>1348992595000.4731</v>
      </c>
      <c r="M64" s="383">
        <f t="shared" si="24"/>
        <v>1414602906000.0952</v>
      </c>
      <c r="N64" s="383">
        <f t="shared" si="24"/>
        <v>1511813082250.4517</v>
      </c>
    </row>
    <row r="65" spans="1:14" s="349" customFormat="1" ht="21" customHeight="1">
      <c r="A65" s="380"/>
      <c r="B65" s="382"/>
      <c r="C65" s="361"/>
      <c r="E65" s="361"/>
    </row>
    <row r="66" spans="1:14" s="349" customFormat="1" ht="21" customHeight="1">
      <c r="A66" s="380"/>
      <c r="B66" s="382" t="s">
        <v>602</v>
      </c>
      <c r="C66" s="361"/>
      <c r="E66" s="361"/>
      <c r="J66" s="383">
        <f>SUM(J67:J69)</f>
        <v>703868590770</v>
      </c>
      <c r="K66" s="383">
        <f t="shared" ref="K66:N66" si="25">SUM(K67:K69)</f>
        <v>788997111242.78784</v>
      </c>
      <c r="L66" s="383">
        <f t="shared" si="25"/>
        <v>845638021959.12354</v>
      </c>
      <c r="M66" s="383">
        <f t="shared" si="25"/>
        <v>891754963526.21924</v>
      </c>
      <c r="N66" s="383">
        <f t="shared" si="25"/>
        <v>936257283714.14941</v>
      </c>
    </row>
    <row r="67" spans="1:14" s="349" customFormat="1" ht="21" customHeight="1">
      <c r="A67" s="380"/>
      <c r="B67" s="382" t="s">
        <v>604</v>
      </c>
      <c r="C67" s="361"/>
      <c r="E67" s="361"/>
      <c r="J67" s="383">
        <f>+J26</f>
        <v>640401936446</v>
      </c>
      <c r="K67" s="383">
        <f t="shared" ref="K67:N67" si="26">+K26</f>
        <v>705884654000.33337</v>
      </c>
      <c r="L67" s="383">
        <f t="shared" si="26"/>
        <v>747929920000</v>
      </c>
      <c r="M67" s="383">
        <f t="shared" si="26"/>
        <v>792929570000.375</v>
      </c>
      <c r="N67" s="383">
        <f t="shared" si="26"/>
        <v>843070687250.29687</v>
      </c>
    </row>
    <row r="68" spans="1:14" s="349" customFormat="1" ht="21" customHeight="1">
      <c r="A68" s="380"/>
      <c r="B68" s="382" t="s">
        <v>603</v>
      </c>
      <c r="C68" s="361"/>
      <c r="E68" s="361"/>
      <c r="J68" s="383">
        <f>+J39</f>
        <v>54966654324</v>
      </c>
      <c r="K68" s="383">
        <f t="shared" ref="K68:N68" si="27">+K39</f>
        <v>56112457242.454483</v>
      </c>
      <c r="L68" s="383">
        <f t="shared" si="27"/>
        <v>57208101959.123573</v>
      </c>
      <c r="M68" s="383">
        <f t="shared" si="27"/>
        <v>58325393525.844246</v>
      </c>
      <c r="N68" s="383">
        <f t="shared" si="27"/>
        <v>60186596463.852478</v>
      </c>
    </row>
    <row r="69" spans="1:14" s="349" customFormat="1" ht="21" customHeight="1">
      <c r="A69" s="380"/>
      <c r="B69" s="382" t="s">
        <v>605</v>
      </c>
      <c r="C69" s="361"/>
      <c r="E69" s="361"/>
      <c r="J69" s="383">
        <f>+J54</f>
        <v>8500000000</v>
      </c>
      <c r="K69" s="383">
        <f t="shared" ref="K69:N69" si="28">+K54</f>
        <v>27000000000</v>
      </c>
      <c r="L69" s="383">
        <f t="shared" si="28"/>
        <v>40500000000</v>
      </c>
      <c r="M69" s="383">
        <f t="shared" si="28"/>
        <v>40500000000</v>
      </c>
      <c r="N69" s="383">
        <f t="shared" si="28"/>
        <v>33000000000</v>
      </c>
    </row>
    <row r="70" spans="1:14" s="349" customFormat="1" ht="21" customHeight="1">
      <c r="A70" s="380"/>
      <c r="B70" s="382"/>
      <c r="C70" s="361"/>
      <c r="E70" s="361"/>
    </row>
    <row r="71" spans="1:14" s="349" customFormat="1" ht="21" customHeight="1">
      <c r="A71" s="380"/>
      <c r="B71" s="382"/>
      <c r="C71" s="361"/>
      <c r="E71" s="361"/>
      <c r="J71" s="383">
        <f>+J63-J66</f>
        <v>537633992530</v>
      </c>
      <c r="K71" s="383">
        <f t="shared" ref="K71:N71" si="29">+K63-K66</f>
        <v>503510419756.76025</v>
      </c>
      <c r="L71" s="383">
        <f t="shared" si="29"/>
        <v>503354573041.34961</v>
      </c>
      <c r="M71" s="383">
        <f t="shared" si="29"/>
        <v>522847942473.87598</v>
      </c>
      <c r="N71" s="383">
        <f t="shared" si="29"/>
        <v>575555798536.30225</v>
      </c>
    </row>
    <row r="72" spans="1:14" s="349" customFormat="1" ht="21" customHeight="1">
      <c r="A72" s="380"/>
      <c r="B72" s="382"/>
      <c r="C72" s="361"/>
      <c r="E72" s="361"/>
      <c r="J72" s="348">
        <v>537633992530</v>
      </c>
      <c r="K72" s="348">
        <v>503510419757.09363</v>
      </c>
      <c r="L72" s="348">
        <v>503354573041.34961</v>
      </c>
      <c r="M72" s="348">
        <v>522847942474.25098</v>
      </c>
      <c r="N72" s="348">
        <v>575555798536.59912</v>
      </c>
    </row>
    <row r="73" spans="1:14" s="349" customFormat="1" ht="21" customHeight="1">
      <c r="A73" s="380"/>
      <c r="B73" s="382"/>
      <c r="C73" s="361"/>
      <c r="E73" s="361"/>
      <c r="J73" s="348">
        <f>+J27+J40</f>
        <v>537633992530</v>
      </c>
      <c r="K73" s="348">
        <f t="shared" ref="K73:N73" si="30">+K27+K40</f>
        <v>503510419757.54553</v>
      </c>
      <c r="L73" s="348">
        <f t="shared" si="30"/>
        <v>503354573040.8764</v>
      </c>
      <c r="M73" s="348">
        <f t="shared" si="30"/>
        <v>522847942474.15576</v>
      </c>
      <c r="N73" s="348">
        <f t="shared" si="30"/>
        <v>575555798536.14746</v>
      </c>
    </row>
    <row r="74" spans="1:14" s="349" customFormat="1" ht="21" customHeight="1">
      <c r="A74" s="380"/>
      <c r="B74" s="382"/>
      <c r="C74" s="361"/>
      <c r="E74" s="361"/>
      <c r="J74" s="348"/>
      <c r="K74" s="348"/>
      <c r="L74" s="348"/>
      <c r="M74" s="348"/>
      <c r="N74" s="348"/>
    </row>
    <row r="75" spans="1:14" s="349" customFormat="1" ht="21" customHeight="1">
      <c r="A75" s="380"/>
      <c r="B75" s="382"/>
      <c r="C75" s="361"/>
      <c r="E75" s="361"/>
      <c r="J75" s="348"/>
      <c r="K75" s="348"/>
      <c r="L75" s="348"/>
      <c r="M75" s="348"/>
      <c r="N75" s="348"/>
    </row>
    <row r="76" spans="1:14" s="349" customFormat="1" ht="21" customHeight="1">
      <c r="A76" s="380"/>
      <c r="B76" s="382" t="s">
        <v>485</v>
      </c>
      <c r="C76" s="361"/>
      <c r="E76" s="361"/>
    </row>
    <row r="77" spans="1:14" s="349" customFormat="1" ht="21" customHeight="1">
      <c r="A77" s="380"/>
      <c r="B77" s="382" t="s">
        <v>486</v>
      </c>
      <c r="C77" s="361"/>
      <c r="E77" s="361"/>
    </row>
    <row r="78" spans="1:14" s="349" customFormat="1" ht="21" customHeight="1">
      <c r="A78" s="380"/>
      <c r="B78" s="382" t="s">
        <v>487</v>
      </c>
      <c r="C78" s="361"/>
      <c r="E78" s="361"/>
    </row>
    <row r="79" spans="1:14" s="349" customFormat="1" ht="21" customHeight="1">
      <c r="A79" s="380"/>
      <c r="B79" s="382" t="s">
        <v>488</v>
      </c>
      <c r="C79" s="361"/>
      <c r="E79" s="361"/>
    </row>
    <row r="80" spans="1:14" s="349" customFormat="1" ht="21" customHeight="1">
      <c r="A80" s="380"/>
      <c r="B80" s="382" t="s">
        <v>489</v>
      </c>
      <c r="C80" s="361"/>
      <c r="E80" s="361"/>
    </row>
    <row r="81" spans="1:5" s="349" customFormat="1" ht="21" customHeight="1">
      <c r="A81" s="380"/>
      <c r="B81" s="382" t="s">
        <v>490</v>
      </c>
      <c r="C81" s="361"/>
      <c r="E81" s="361"/>
    </row>
    <row r="82" spans="1:5" s="349" customFormat="1" ht="21" customHeight="1">
      <c r="A82" s="380"/>
      <c r="B82" s="382" t="s">
        <v>491</v>
      </c>
      <c r="C82" s="361"/>
      <c r="E82" s="361"/>
    </row>
    <row r="83" spans="1:5" s="349" customFormat="1" ht="21" customHeight="1">
      <c r="A83" s="380"/>
      <c r="B83" s="382"/>
      <c r="C83" s="361"/>
      <c r="E83" s="361"/>
    </row>
    <row r="84" spans="1:5" s="349" customFormat="1" ht="21" customHeight="1">
      <c r="A84" s="380"/>
      <c r="B84" s="382" t="s">
        <v>492</v>
      </c>
      <c r="C84" s="361"/>
      <c r="E84" s="361"/>
    </row>
    <row r="85" spans="1:5" s="349" customFormat="1" ht="21" customHeight="1">
      <c r="A85" s="380"/>
      <c r="B85" s="382"/>
      <c r="C85" s="384">
        <v>2015</v>
      </c>
      <c r="D85" s="385">
        <f>+K61</f>
        <v>0.214599609375</v>
      </c>
      <c r="E85" s="361"/>
    </row>
    <row r="86" spans="1:5" s="349" customFormat="1" ht="21" customHeight="1">
      <c r="A86" s="380"/>
      <c r="B86" s="382"/>
      <c r="C86" s="384">
        <v>2016</v>
      </c>
      <c r="D86" s="385">
        <f>+L61</f>
        <v>0.47314453125</v>
      </c>
      <c r="E86" s="361"/>
    </row>
    <row r="87" spans="1:5" s="349" customFormat="1" ht="21" customHeight="1">
      <c r="A87" s="380"/>
      <c r="B87" s="382"/>
      <c r="C87" s="384">
        <v>2017</v>
      </c>
      <c r="D87" s="385">
        <f>+M61</f>
        <v>-0.27978515625</v>
      </c>
      <c r="E87" s="361"/>
    </row>
    <row r="88" spans="1:5" s="349" customFormat="1" ht="21" customHeight="1">
      <c r="A88" s="380"/>
      <c r="B88" s="382"/>
      <c r="C88" s="384">
        <v>2018</v>
      </c>
      <c r="D88" s="385">
        <f>+N61</f>
        <v>0.15478515625</v>
      </c>
      <c r="E88" s="361"/>
    </row>
    <row r="89" spans="1:5" s="349" customFormat="1" ht="21" customHeight="1">
      <c r="A89" s="380"/>
      <c r="B89" s="382"/>
      <c r="C89" s="361"/>
      <c r="E89" s="361"/>
    </row>
    <row r="90" spans="1:5" s="349" customFormat="1" ht="21" customHeight="1">
      <c r="A90" s="380"/>
      <c r="B90" s="382" t="s">
        <v>493</v>
      </c>
      <c r="C90" s="361"/>
      <c r="E90" s="361"/>
    </row>
    <row r="91" spans="1:5" s="349" customFormat="1" ht="21" customHeight="1">
      <c r="A91" s="380"/>
      <c r="B91" s="382"/>
      <c r="C91" s="361"/>
      <c r="E91" s="361"/>
    </row>
    <row r="92" spans="1:5" s="349" customFormat="1" ht="21" customHeight="1">
      <c r="A92" s="380"/>
      <c r="B92" s="382"/>
      <c r="C92" s="361"/>
      <c r="E92" s="361"/>
    </row>
    <row r="93" spans="1:5" s="349" customFormat="1" ht="21" customHeight="1">
      <c r="A93" s="380"/>
      <c r="B93" s="382"/>
      <c r="C93" s="361"/>
      <c r="E93" s="361"/>
    </row>
    <row r="94" spans="1:5" s="349" customFormat="1" ht="21" customHeight="1">
      <c r="A94" s="380"/>
      <c r="B94" s="382"/>
      <c r="C94" s="361"/>
      <c r="E94" s="361"/>
    </row>
    <row r="95" spans="1:5" s="349" customFormat="1" ht="21" customHeight="1">
      <c r="A95" s="380"/>
      <c r="B95" s="382"/>
      <c r="C95" s="361"/>
      <c r="E95" s="361"/>
    </row>
    <row r="96" spans="1:5" s="349" customFormat="1" ht="21" customHeight="1">
      <c r="A96" s="380"/>
      <c r="B96" s="382"/>
      <c r="C96" s="361"/>
      <c r="E96" s="361"/>
    </row>
    <row r="97" spans="1:5" s="349" customFormat="1" ht="21" customHeight="1">
      <c r="A97" s="380"/>
      <c r="B97" s="382"/>
      <c r="C97" s="361"/>
      <c r="E97" s="361"/>
    </row>
    <row r="98" spans="1:5" s="349" customFormat="1" ht="21" customHeight="1">
      <c r="A98" s="380"/>
      <c r="B98" s="382"/>
      <c r="C98" s="361"/>
      <c r="E98" s="361"/>
    </row>
    <row r="99" spans="1:5" s="349" customFormat="1" ht="21" customHeight="1">
      <c r="A99" s="380"/>
      <c r="B99" s="382"/>
      <c r="C99" s="361"/>
      <c r="E99" s="361"/>
    </row>
    <row r="100" spans="1:5" s="349" customFormat="1" ht="21" customHeight="1">
      <c r="A100" s="380"/>
      <c r="B100" s="382"/>
      <c r="C100" s="361"/>
      <c r="E100" s="361"/>
    </row>
    <row r="101" spans="1:5" s="349" customFormat="1" ht="21" customHeight="1">
      <c r="A101" s="380"/>
      <c r="B101" s="382"/>
      <c r="C101" s="361"/>
      <c r="E101" s="361"/>
    </row>
    <row r="102" spans="1:5" s="349" customFormat="1" ht="21" customHeight="1">
      <c r="A102" s="380"/>
      <c r="B102" s="382"/>
      <c r="C102" s="361"/>
      <c r="E102" s="361"/>
    </row>
    <row r="103" spans="1:5" s="349" customFormat="1" ht="21" customHeight="1">
      <c r="A103" s="380"/>
      <c r="B103" s="382"/>
      <c r="C103" s="361"/>
      <c r="E103" s="361"/>
    </row>
    <row r="104" spans="1:5" s="349" customFormat="1" ht="21" customHeight="1">
      <c r="A104" s="380"/>
      <c r="B104" s="382"/>
      <c r="C104" s="361"/>
      <c r="E104" s="361"/>
    </row>
    <row r="105" spans="1:5" s="349" customFormat="1" ht="21" customHeight="1">
      <c r="A105" s="380"/>
      <c r="B105" s="382"/>
      <c r="C105" s="361"/>
      <c r="E105" s="361"/>
    </row>
    <row r="106" spans="1:5" s="349" customFormat="1" ht="21" customHeight="1">
      <c r="A106" s="380"/>
      <c r="B106" s="382"/>
      <c r="C106" s="361"/>
      <c r="E106" s="361"/>
    </row>
    <row r="107" spans="1:5" s="349" customFormat="1" ht="21" customHeight="1">
      <c r="A107" s="380"/>
      <c r="B107" s="382"/>
      <c r="C107" s="361"/>
      <c r="E107" s="361"/>
    </row>
    <row r="108" spans="1:5" s="349" customFormat="1" ht="21" customHeight="1">
      <c r="A108" s="380"/>
      <c r="B108" s="382"/>
      <c r="C108" s="361"/>
      <c r="E108" s="361"/>
    </row>
    <row r="109" spans="1:5" s="349" customFormat="1" ht="21" customHeight="1">
      <c r="A109" s="380"/>
      <c r="B109" s="382"/>
      <c r="C109" s="361"/>
      <c r="E109" s="361"/>
    </row>
    <row r="110" spans="1:5" s="349" customFormat="1" ht="21" customHeight="1">
      <c r="A110" s="380"/>
      <c r="B110" s="382"/>
      <c r="C110" s="361"/>
      <c r="E110" s="361"/>
    </row>
    <row r="111" spans="1:5" s="349" customFormat="1" ht="21" customHeight="1">
      <c r="A111" s="380"/>
      <c r="B111" s="382"/>
      <c r="C111" s="361"/>
      <c r="E111" s="361"/>
    </row>
    <row r="112" spans="1:5" s="349" customFormat="1" ht="21" customHeight="1">
      <c r="A112" s="380"/>
      <c r="B112" s="382"/>
      <c r="C112" s="361"/>
      <c r="E112" s="361"/>
    </row>
    <row r="113" spans="1:14" s="349" customFormat="1" ht="21" customHeight="1">
      <c r="A113" s="380"/>
      <c r="B113" s="382"/>
      <c r="C113" s="361"/>
      <c r="E113" s="361"/>
    </row>
    <row r="114" spans="1:14" s="349" customFormat="1" ht="21" customHeight="1">
      <c r="A114" s="380"/>
      <c r="B114" s="382"/>
      <c r="C114" s="361"/>
      <c r="E114" s="361"/>
    </row>
    <row r="115" spans="1:14" s="349" customFormat="1" ht="21" customHeight="1">
      <c r="A115" s="380"/>
      <c r="B115" s="382"/>
      <c r="C115" s="361"/>
      <c r="E115" s="361"/>
    </row>
    <row r="116" spans="1:14" s="349" customFormat="1" ht="21" customHeight="1">
      <c r="A116" s="380"/>
      <c r="B116" s="382"/>
      <c r="C116" s="361"/>
      <c r="E116" s="361"/>
    </row>
    <row r="117" spans="1:14" s="349" customFormat="1" ht="21" customHeight="1">
      <c r="A117" s="380"/>
      <c r="B117" s="382"/>
      <c r="C117" s="361"/>
      <c r="E117" s="361"/>
    </row>
    <row r="118" spans="1:14" s="349" customFormat="1" ht="21" customHeight="1">
      <c r="A118" s="380"/>
      <c r="B118" s="382"/>
      <c r="C118" s="361"/>
      <c r="E118" s="361"/>
    </row>
    <row r="119" spans="1:14" s="349" customFormat="1" ht="21" customHeight="1">
      <c r="A119" s="380"/>
      <c r="B119" s="382"/>
      <c r="C119" s="361"/>
      <c r="E119" s="361"/>
    </row>
    <row r="120" spans="1:14" s="349" customFormat="1" ht="21" customHeight="1">
      <c r="A120" s="380"/>
      <c r="B120" s="382"/>
      <c r="C120" s="361"/>
      <c r="E120" s="361"/>
    </row>
    <row r="121" spans="1:14" s="349" customFormat="1" ht="21" customHeight="1">
      <c r="A121" s="380"/>
      <c r="B121" s="382"/>
      <c r="C121" s="361"/>
      <c r="E121" s="361"/>
    </row>
    <row r="123" spans="1:14" s="13" customFormat="1" ht="20.100000000000001" customHeight="1">
      <c r="A123" s="10"/>
      <c r="B123" s="11"/>
      <c r="C123" s="12"/>
      <c r="D123" s="12"/>
      <c r="J123" s="386">
        <f>+J30-J19</f>
        <v>497644536446</v>
      </c>
      <c r="K123" s="387">
        <f>+'[1]BELANJA WAJIB'!E6</f>
        <v>518517500000</v>
      </c>
      <c r="L123" s="387">
        <f>+'[1]BELANJA WAJIB'!F6</f>
        <v>561295193750</v>
      </c>
      <c r="M123" s="387">
        <f>+'[1]BELANJA WAJIB'!G6</f>
        <v>607602047234.375</v>
      </c>
      <c r="N123" s="387">
        <f>+'[1]BELANJA WAJIB'!H6</f>
        <v>659248221249.29687</v>
      </c>
    </row>
    <row r="124" spans="1:14" s="13" customFormat="1" ht="20.100000000000001" customHeight="1">
      <c r="A124" s="10"/>
      <c r="B124" s="11"/>
      <c r="C124" s="12"/>
      <c r="D124" s="12"/>
      <c r="K124" s="13" t="s">
        <v>8</v>
      </c>
      <c r="L124" s="276"/>
    </row>
    <row r="125" spans="1:14" s="13" customFormat="1" ht="20.100000000000001" customHeight="1">
      <c r="A125" s="10"/>
      <c r="B125" s="11"/>
      <c r="C125" s="12"/>
      <c r="D125" s="12"/>
      <c r="J125" s="386" t="s">
        <v>8</v>
      </c>
      <c r="L125" s="276"/>
    </row>
    <row r="126" spans="1:14" s="13" customFormat="1" ht="20.100000000000001" customHeight="1">
      <c r="A126" s="10"/>
      <c r="B126" s="11"/>
      <c r="C126" s="12"/>
      <c r="D126" s="12"/>
      <c r="K126" s="13">
        <v>2015</v>
      </c>
      <c r="L126" s="388">
        <f>+[2]Sheet2!$O$56</f>
        <v>5304.8333333333358</v>
      </c>
      <c r="M126" s="289">
        <v>18000</v>
      </c>
      <c r="N126" s="289">
        <f>+L126+M126</f>
        <v>23304.833333333336</v>
      </c>
    </row>
    <row r="127" spans="1:14" s="13" customFormat="1" ht="20.100000000000001" customHeight="1">
      <c r="A127" s="10"/>
      <c r="B127" s="11"/>
      <c r="C127" s="12"/>
      <c r="D127" s="12"/>
      <c r="K127" s="13">
        <v>2016</v>
      </c>
      <c r="L127" s="388">
        <f>+[2]Sheet2!$O$57</f>
        <v>4536</v>
      </c>
      <c r="M127" s="289">
        <v>24000</v>
      </c>
      <c r="N127" s="289">
        <f t="shared" ref="N127:N129" si="31">+L127+M127</f>
        <v>28536</v>
      </c>
    </row>
    <row r="128" spans="1:14" s="13" customFormat="1" ht="20.100000000000001" customHeight="1">
      <c r="A128" s="10"/>
      <c r="B128" s="11"/>
      <c r="C128" s="12"/>
      <c r="D128" s="12"/>
      <c r="K128" s="13">
        <v>2017</v>
      </c>
      <c r="L128" s="388">
        <f>+[2]Sheet2!$O$58</f>
        <v>2808</v>
      </c>
      <c r="M128" s="289">
        <v>24000</v>
      </c>
      <c r="N128" s="289">
        <f t="shared" si="31"/>
        <v>26808</v>
      </c>
    </row>
    <row r="129" spans="1:14" s="13" customFormat="1" ht="20.100000000000001" customHeight="1">
      <c r="A129" s="10"/>
      <c r="B129" s="11"/>
      <c r="C129" s="12"/>
      <c r="D129" s="12"/>
      <c r="K129" s="13">
        <v>2018</v>
      </c>
      <c r="L129" s="388">
        <f>+[2]Sheet2!$O$59</f>
        <v>1080</v>
      </c>
      <c r="M129" s="289">
        <v>24000</v>
      </c>
      <c r="N129" s="289">
        <f t="shared" si="31"/>
        <v>25080</v>
      </c>
    </row>
  </sheetData>
  <mergeCells count="4">
    <mergeCell ref="A1:G1"/>
    <mergeCell ref="A2:G2"/>
    <mergeCell ref="C3:G3"/>
    <mergeCell ref="K3:N3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G121"/>
  <sheetViews>
    <sheetView topLeftCell="B1" zoomScale="112" zoomScaleNormal="112" workbookViewId="0">
      <pane xSplit="1" ySplit="5" topLeftCell="C36" activePane="bottomRight" state="frozen"/>
      <selection activeCell="B1" sqref="B1"/>
      <selection pane="topRight" activeCell="C1" sqref="C1"/>
      <selection pane="bottomLeft" activeCell="B5" sqref="B5"/>
      <selection pane="bottomRight" activeCell="B1" sqref="B1:H3"/>
    </sheetView>
  </sheetViews>
  <sheetFormatPr defaultColWidth="23.28515625" defaultRowHeight="20.100000000000001" customHeight="1"/>
  <cols>
    <col min="1" max="1" width="13.140625" style="10" customWidth="1"/>
    <col min="2" max="2" width="27.140625" style="11" customWidth="1"/>
    <col min="3" max="3" width="16.85546875" style="13" customWidth="1"/>
    <col min="4" max="4" width="17.28515625" style="13" customWidth="1"/>
    <col min="5" max="5" width="16.85546875" style="13" bestFit="1" customWidth="1"/>
    <col min="6" max="6" width="16.85546875" style="276" bestFit="1" customWidth="1"/>
    <col min="7" max="8" width="16.85546875" style="13" bestFit="1" customWidth="1"/>
    <col min="9" max="9" width="17.85546875" style="13" bestFit="1" customWidth="1"/>
    <col min="10" max="10" width="22.5703125" style="13" customWidth="1"/>
    <col min="11" max="235" width="9.140625" style="13" customWidth="1"/>
    <col min="236" max="236" width="6" style="13" customWidth="1"/>
    <col min="237" max="237" width="50.28515625" style="13" customWidth="1"/>
    <col min="238" max="239" width="0" style="13" hidden="1" customWidth="1"/>
    <col min="240" max="240" width="20.7109375" style="13" customWidth="1"/>
    <col min="241" max="241" width="23.28515625" style="13" customWidth="1"/>
    <col min="242" max="251" width="23.28515625" style="9"/>
    <col min="252" max="252" width="13.140625" style="9" customWidth="1"/>
    <col min="253" max="253" width="58" style="9" customWidth="1"/>
    <col min="254" max="254" width="25" style="9" customWidth="1"/>
    <col min="255" max="255" width="20.7109375" style="9" customWidth="1"/>
    <col min="256" max="256" width="25" style="9" customWidth="1"/>
    <col min="257" max="491" width="9.140625" style="9" customWidth="1"/>
    <col min="492" max="492" width="6" style="9" customWidth="1"/>
    <col min="493" max="493" width="50.28515625" style="9" customWidth="1"/>
    <col min="494" max="495" width="0" style="9" hidden="1" customWidth="1"/>
    <col min="496" max="496" width="20.7109375" style="9" customWidth="1"/>
    <col min="497" max="497" width="23.28515625" style="9" customWidth="1"/>
    <col min="498" max="507" width="23.28515625" style="9"/>
    <col min="508" max="508" width="13.140625" style="9" customWidth="1"/>
    <col min="509" max="509" width="58" style="9" customWidth="1"/>
    <col min="510" max="510" width="25" style="9" customWidth="1"/>
    <col min="511" max="511" width="20.7109375" style="9" customWidth="1"/>
    <col min="512" max="512" width="25" style="9" customWidth="1"/>
    <col min="513" max="747" width="9.140625" style="9" customWidth="1"/>
    <col min="748" max="748" width="6" style="9" customWidth="1"/>
    <col min="749" max="749" width="50.28515625" style="9" customWidth="1"/>
    <col min="750" max="751" width="0" style="9" hidden="1" customWidth="1"/>
    <col min="752" max="752" width="20.7109375" style="9" customWidth="1"/>
    <col min="753" max="753" width="23.28515625" style="9" customWidth="1"/>
    <col min="754" max="763" width="23.28515625" style="9"/>
    <col min="764" max="764" width="13.140625" style="9" customWidth="1"/>
    <col min="765" max="765" width="58" style="9" customWidth="1"/>
    <col min="766" max="766" width="25" style="9" customWidth="1"/>
    <col min="767" max="767" width="20.7109375" style="9" customWidth="1"/>
    <col min="768" max="768" width="25" style="9" customWidth="1"/>
    <col min="769" max="1003" width="9.140625" style="9" customWidth="1"/>
    <col min="1004" max="1004" width="6" style="9" customWidth="1"/>
    <col min="1005" max="1005" width="50.28515625" style="9" customWidth="1"/>
    <col min="1006" max="1007" width="0" style="9" hidden="1" customWidth="1"/>
    <col min="1008" max="1008" width="20.7109375" style="9" customWidth="1"/>
    <col min="1009" max="1009" width="23.28515625" style="9" customWidth="1"/>
    <col min="1010" max="1019" width="23.28515625" style="9"/>
    <col min="1020" max="1020" width="13.140625" style="9" customWidth="1"/>
    <col min="1021" max="1021" width="58" style="9" customWidth="1"/>
    <col min="1022" max="1022" width="25" style="9" customWidth="1"/>
    <col min="1023" max="1023" width="20.7109375" style="9" customWidth="1"/>
    <col min="1024" max="1024" width="25" style="9" customWidth="1"/>
    <col min="1025" max="1259" width="9.140625" style="9" customWidth="1"/>
    <col min="1260" max="1260" width="6" style="9" customWidth="1"/>
    <col min="1261" max="1261" width="50.28515625" style="9" customWidth="1"/>
    <col min="1262" max="1263" width="0" style="9" hidden="1" customWidth="1"/>
    <col min="1264" max="1264" width="20.7109375" style="9" customWidth="1"/>
    <col min="1265" max="1265" width="23.28515625" style="9" customWidth="1"/>
    <col min="1266" max="1275" width="23.28515625" style="9"/>
    <col min="1276" max="1276" width="13.140625" style="9" customWidth="1"/>
    <col min="1277" max="1277" width="58" style="9" customWidth="1"/>
    <col min="1278" max="1278" width="25" style="9" customWidth="1"/>
    <col min="1279" max="1279" width="20.7109375" style="9" customWidth="1"/>
    <col min="1280" max="1280" width="25" style="9" customWidth="1"/>
    <col min="1281" max="1515" width="9.140625" style="9" customWidth="1"/>
    <col min="1516" max="1516" width="6" style="9" customWidth="1"/>
    <col min="1517" max="1517" width="50.28515625" style="9" customWidth="1"/>
    <col min="1518" max="1519" width="0" style="9" hidden="1" customWidth="1"/>
    <col min="1520" max="1520" width="20.7109375" style="9" customWidth="1"/>
    <col min="1521" max="1521" width="23.28515625" style="9" customWidth="1"/>
    <col min="1522" max="1531" width="23.28515625" style="9"/>
    <col min="1532" max="1532" width="13.140625" style="9" customWidth="1"/>
    <col min="1533" max="1533" width="58" style="9" customWidth="1"/>
    <col min="1534" max="1534" width="25" style="9" customWidth="1"/>
    <col min="1535" max="1535" width="20.7109375" style="9" customWidth="1"/>
    <col min="1536" max="1536" width="25" style="9" customWidth="1"/>
    <col min="1537" max="1771" width="9.140625" style="9" customWidth="1"/>
    <col min="1772" max="1772" width="6" style="9" customWidth="1"/>
    <col min="1773" max="1773" width="50.28515625" style="9" customWidth="1"/>
    <col min="1774" max="1775" width="0" style="9" hidden="1" customWidth="1"/>
    <col min="1776" max="1776" width="20.7109375" style="9" customWidth="1"/>
    <col min="1777" max="1777" width="23.28515625" style="9" customWidth="1"/>
    <col min="1778" max="1787" width="23.28515625" style="9"/>
    <col min="1788" max="1788" width="13.140625" style="9" customWidth="1"/>
    <col min="1789" max="1789" width="58" style="9" customWidth="1"/>
    <col min="1790" max="1790" width="25" style="9" customWidth="1"/>
    <col min="1791" max="1791" width="20.7109375" style="9" customWidth="1"/>
    <col min="1792" max="1792" width="25" style="9" customWidth="1"/>
    <col min="1793" max="2027" width="9.140625" style="9" customWidth="1"/>
    <col min="2028" max="2028" width="6" style="9" customWidth="1"/>
    <col min="2029" max="2029" width="50.28515625" style="9" customWidth="1"/>
    <col min="2030" max="2031" width="0" style="9" hidden="1" customWidth="1"/>
    <col min="2032" max="2032" width="20.7109375" style="9" customWidth="1"/>
    <col min="2033" max="2033" width="23.28515625" style="9" customWidth="1"/>
    <col min="2034" max="2043" width="23.28515625" style="9"/>
    <col min="2044" max="2044" width="13.140625" style="9" customWidth="1"/>
    <col min="2045" max="2045" width="58" style="9" customWidth="1"/>
    <col min="2046" max="2046" width="25" style="9" customWidth="1"/>
    <col min="2047" max="2047" width="20.7109375" style="9" customWidth="1"/>
    <col min="2048" max="2048" width="25" style="9" customWidth="1"/>
    <col min="2049" max="2283" width="9.140625" style="9" customWidth="1"/>
    <col min="2284" max="2284" width="6" style="9" customWidth="1"/>
    <col min="2285" max="2285" width="50.28515625" style="9" customWidth="1"/>
    <col min="2286" max="2287" width="0" style="9" hidden="1" customWidth="1"/>
    <col min="2288" max="2288" width="20.7109375" style="9" customWidth="1"/>
    <col min="2289" max="2289" width="23.28515625" style="9" customWidth="1"/>
    <col min="2290" max="2299" width="23.28515625" style="9"/>
    <col min="2300" max="2300" width="13.140625" style="9" customWidth="1"/>
    <col min="2301" max="2301" width="58" style="9" customWidth="1"/>
    <col min="2302" max="2302" width="25" style="9" customWidth="1"/>
    <col min="2303" max="2303" width="20.7109375" style="9" customWidth="1"/>
    <col min="2304" max="2304" width="25" style="9" customWidth="1"/>
    <col min="2305" max="2539" width="9.140625" style="9" customWidth="1"/>
    <col min="2540" max="2540" width="6" style="9" customWidth="1"/>
    <col min="2541" max="2541" width="50.28515625" style="9" customWidth="1"/>
    <col min="2542" max="2543" width="0" style="9" hidden="1" customWidth="1"/>
    <col min="2544" max="2544" width="20.7109375" style="9" customWidth="1"/>
    <col min="2545" max="2545" width="23.28515625" style="9" customWidth="1"/>
    <col min="2546" max="2555" width="23.28515625" style="9"/>
    <col min="2556" max="2556" width="13.140625" style="9" customWidth="1"/>
    <col min="2557" max="2557" width="58" style="9" customWidth="1"/>
    <col min="2558" max="2558" width="25" style="9" customWidth="1"/>
    <col min="2559" max="2559" width="20.7109375" style="9" customWidth="1"/>
    <col min="2560" max="2560" width="25" style="9" customWidth="1"/>
    <col min="2561" max="2795" width="9.140625" style="9" customWidth="1"/>
    <col min="2796" max="2796" width="6" style="9" customWidth="1"/>
    <col min="2797" max="2797" width="50.28515625" style="9" customWidth="1"/>
    <col min="2798" max="2799" width="0" style="9" hidden="1" customWidth="1"/>
    <col min="2800" max="2800" width="20.7109375" style="9" customWidth="1"/>
    <col min="2801" max="2801" width="23.28515625" style="9" customWidth="1"/>
    <col min="2802" max="2811" width="23.28515625" style="9"/>
    <col min="2812" max="2812" width="13.140625" style="9" customWidth="1"/>
    <col min="2813" max="2813" width="58" style="9" customWidth="1"/>
    <col min="2814" max="2814" width="25" style="9" customWidth="1"/>
    <col min="2815" max="2815" width="20.7109375" style="9" customWidth="1"/>
    <col min="2816" max="2816" width="25" style="9" customWidth="1"/>
    <col min="2817" max="3051" width="9.140625" style="9" customWidth="1"/>
    <col min="3052" max="3052" width="6" style="9" customWidth="1"/>
    <col min="3053" max="3053" width="50.28515625" style="9" customWidth="1"/>
    <col min="3054" max="3055" width="0" style="9" hidden="1" customWidth="1"/>
    <col min="3056" max="3056" width="20.7109375" style="9" customWidth="1"/>
    <col min="3057" max="3057" width="23.28515625" style="9" customWidth="1"/>
    <col min="3058" max="3067" width="23.28515625" style="9"/>
    <col min="3068" max="3068" width="13.140625" style="9" customWidth="1"/>
    <col min="3069" max="3069" width="58" style="9" customWidth="1"/>
    <col min="3070" max="3070" width="25" style="9" customWidth="1"/>
    <col min="3071" max="3071" width="20.7109375" style="9" customWidth="1"/>
    <col min="3072" max="3072" width="25" style="9" customWidth="1"/>
    <col min="3073" max="3307" width="9.140625" style="9" customWidth="1"/>
    <col min="3308" max="3308" width="6" style="9" customWidth="1"/>
    <col min="3309" max="3309" width="50.28515625" style="9" customWidth="1"/>
    <col min="3310" max="3311" width="0" style="9" hidden="1" customWidth="1"/>
    <col min="3312" max="3312" width="20.7109375" style="9" customWidth="1"/>
    <col min="3313" max="3313" width="23.28515625" style="9" customWidth="1"/>
    <col min="3314" max="3323" width="23.28515625" style="9"/>
    <col min="3324" max="3324" width="13.140625" style="9" customWidth="1"/>
    <col min="3325" max="3325" width="58" style="9" customWidth="1"/>
    <col min="3326" max="3326" width="25" style="9" customWidth="1"/>
    <col min="3327" max="3327" width="20.7109375" style="9" customWidth="1"/>
    <col min="3328" max="3328" width="25" style="9" customWidth="1"/>
    <col min="3329" max="3563" width="9.140625" style="9" customWidth="1"/>
    <col min="3564" max="3564" width="6" style="9" customWidth="1"/>
    <col min="3565" max="3565" width="50.28515625" style="9" customWidth="1"/>
    <col min="3566" max="3567" width="0" style="9" hidden="1" customWidth="1"/>
    <col min="3568" max="3568" width="20.7109375" style="9" customWidth="1"/>
    <col min="3569" max="3569" width="23.28515625" style="9" customWidth="1"/>
    <col min="3570" max="3579" width="23.28515625" style="9"/>
    <col min="3580" max="3580" width="13.140625" style="9" customWidth="1"/>
    <col min="3581" max="3581" width="58" style="9" customWidth="1"/>
    <col min="3582" max="3582" width="25" style="9" customWidth="1"/>
    <col min="3583" max="3583" width="20.7109375" style="9" customWidth="1"/>
    <col min="3584" max="3584" width="25" style="9" customWidth="1"/>
    <col min="3585" max="3819" width="9.140625" style="9" customWidth="1"/>
    <col min="3820" max="3820" width="6" style="9" customWidth="1"/>
    <col min="3821" max="3821" width="50.28515625" style="9" customWidth="1"/>
    <col min="3822" max="3823" width="0" style="9" hidden="1" customWidth="1"/>
    <col min="3824" max="3824" width="20.7109375" style="9" customWidth="1"/>
    <col min="3825" max="3825" width="23.28515625" style="9" customWidth="1"/>
    <col min="3826" max="3835" width="23.28515625" style="9"/>
    <col min="3836" max="3836" width="13.140625" style="9" customWidth="1"/>
    <col min="3837" max="3837" width="58" style="9" customWidth="1"/>
    <col min="3838" max="3838" width="25" style="9" customWidth="1"/>
    <col min="3839" max="3839" width="20.7109375" style="9" customWidth="1"/>
    <col min="3840" max="3840" width="25" style="9" customWidth="1"/>
    <col min="3841" max="4075" width="9.140625" style="9" customWidth="1"/>
    <col min="4076" max="4076" width="6" style="9" customWidth="1"/>
    <col min="4077" max="4077" width="50.28515625" style="9" customWidth="1"/>
    <col min="4078" max="4079" width="0" style="9" hidden="1" customWidth="1"/>
    <col min="4080" max="4080" width="20.7109375" style="9" customWidth="1"/>
    <col min="4081" max="4081" width="23.28515625" style="9" customWidth="1"/>
    <col min="4082" max="4091" width="23.28515625" style="9"/>
    <col min="4092" max="4092" width="13.140625" style="9" customWidth="1"/>
    <col min="4093" max="4093" width="58" style="9" customWidth="1"/>
    <col min="4094" max="4094" width="25" style="9" customWidth="1"/>
    <col min="4095" max="4095" width="20.7109375" style="9" customWidth="1"/>
    <col min="4096" max="4096" width="25" style="9" customWidth="1"/>
    <col min="4097" max="4331" width="9.140625" style="9" customWidth="1"/>
    <col min="4332" max="4332" width="6" style="9" customWidth="1"/>
    <col min="4333" max="4333" width="50.28515625" style="9" customWidth="1"/>
    <col min="4334" max="4335" width="0" style="9" hidden="1" customWidth="1"/>
    <col min="4336" max="4336" width="20.7109375" style="9" customWidth="1"/>
    <col min="4337" max="4337" width="23.28515625" style="9" customWidth="1"/>
    <col min="4338" max="4347" width="23.28515625" style="9"/>
    <col min="4348" max="4348" width="13.140625" style="9" customWidth="1"/>
    <col min="4349" max="4349" width="58" style="9" customWidth="1"/>
    <col min="4350" max="4350" width="25" style="9" customWidth="1"/>
    <col min="4351" max="4351" width="20.7109375" style="9" customWidth="1"/>
    <col min="4352" max="4352" width="25" style="9" customWidth="1"/>
    <col min="4353" max="4587" width="9.140625" style="9" customWidth="1"/>
    <col min="4588" max="4588" width="6" style="9" customWidth="1"/>
    <col min="4589" max="4589" width="50.28515625" style="9" customWidth="1"/>
    <col min="4590" max="4591" width="0" style="9" hidden="1" customWidth="1"/>
    <col min="4592" max="4592" width="20.7109375" style="9" customWidth="1"/>
    <col min="4593" max="4593" width="23.28515625" style="9" customWidth="1"/>
    <col min="4594" max="4603" width="23.28515625" style="9"/>
    <col min="4604" max="4604" width="13.140625" style="9" customWidth="1"/>
    <col min="4605" max="4605" width="58" style="9" customWidth="1"/>
    <col min="4606" max="4606" width="25" style="9" customWidth="1"/>
    <col min="4607" max="4607" width="20.7109375" style="9" customWidth="1"/>
    <col min="4608" max="4608" width="25" style="9" customWidth="1"/>
    <col min="4609" max="4843" width="9.140625" style="9" customWidth="1"/>
    <col min="4844" max="4844" width="6" style="9" customWidth="1"/>
    <col min="4845" max="4845" width="50.28515625" style="9" customWidth="1"/>
    <col min="4846" max="4847" width="0" style="9" hidden="1" customWidth="1"/>
    <col min="4848" max="4848" width="20.7109375" style="9" customWidth="1"/>
    <col min="4849" max="4849" width="23.28515625" style="9" customWidth="1"/>
    <col min="4850" max="4859" width="23.28515625" style="9"/>
    <col min="4860" max="4860" width="13.140625" style="9" customWidth="1"/>
    <col min="4861" max="4861" width="58" style="9" customWidth="1"/>
    <col min="4862" max="4862" width="25" style="9" customWidth="1"/>
    <col min="4863" max="4863" width="20.7109375" style="9" customWidth="1"/>
    <col min="4864" max="4864" width="25" style="9" customWidth="1"/>
    <col min="4865" max="5099" width="9.140625" style="9" customWidth="1"/>
    <col min="5100" max="5100" width="6" style="9" customWidth="1"/>
    <col min="5101" max="5101" width="50.28515625" style="9" customWidth="1"/>
    <col min="5102" max="5103" width="0" style="9" hidden="1" customWidth="1"/>
    <col min="5104" max="5104" width="20.7109375" style="9" customWidth="1"/>
    <col min="5105" max="5105" width="23.28515625" style="9" customWidth="1"/>
    <col min="5106" max="5115" width="23.28515625" style="9"/>
    <col min="5116" max="5116" width="13.140625" style="9" customWidth="1"/>
    <col min="5117" max="5117" width="58" style="9" customWidth="1"/>
    <col min="5118" max="5118" width="25" style="9" customWidth="1"/>
    <col min="5119" max="5119" width="20.7109375" style="9" customWidth="1"/>
    <col min="5120" max="5120" width="25" style="9" customWidth="1"/>
    <col min="5121" max="5355" width="9.140625" style="9" customWidth="1"/>
    <col min="5356" max="5356" width="6" style="9" customWidth="1"/>
    <col min="5357" max="5357" width="50.28515625" style="9" customWidth="1"/>
    <col min="5358" max="5359" width="0" style="9" hidden="1" customWidth="1"/>
    <col min="5360" max="5360" width="20.7109375" style="9" customWidth="1"/>
    <col min="5361" max="5361" width="23.28515625" style="9" customWidth="1"/>
    <col min="5362" max="5371" width="23.28515625" style="9"/>
    <col min="5372" max="5372" width="13.140625" style="9" customWidth="1"/>
    <col min="5373" max="5373" width="58" style="9" customWidth="1"/>
    <col min="5374" max="5374" width="25" style="9" customWidth="1"/>
    <col min="5375" max="5375" width="20.7109375" style="9" customWidth="1"/>
    <col min="5376" max="5376" width="25" style="9" customWidth="1"/>
    <col min="5377" max="5611" width="9.140625" style="9" customWidth="1"/>
    <col min="5612" max="5612" width="6" style="9" customWidth="1"/>
    <col min="5613" max="5613" width="50.28515625" style="9" customWidth="1"/>
    <col min="5614" max="5615" width="0" style="9" hidden="1" customWidth="1"/>
    <col min="5616" max="5616" width="20.7109375" style="9" customWidth="1"/>
    <col min="5617" max="5617" width="23.28515625" style="9" customWidth="1"/>
    <col min="5618" max="5627" width="23.28515625" style="9"/>
    <col min="5628" max="5628" width="13.140625" style="9" customWidth="1"/>
    <col min="5629" max="5629" width="58" style="9" customWidth="1"/>
    <col min="5630" max="5630" width="25" style="9" customWidth="1"/>
    <col min="5631" max="5631" width="20.7109375" style="9" customWidth="1"/>
    <col min="5632" max="5632" width="25" style="9" customWidth="1"/>
    <col min="5633" max="5867" width="9.140625" style="9" customWidth="1"/>
    <col min="5868" max="5868" width="6" style="9" customWidth="1"/>
    <col min="5869" max="5869" width="50.28515625" style="9" customWidth="1"/>
    <col min="5870" max="5871" width="0" style="9" hidden="1" customWidth="1"/>
    <col min="5872" max="5872" width="20.7109375" style="9" customWidth="1"/>
    <col min="5873" max="5873" width="23.28515625" style="9" customWidth="1"/>
    <col min="5874" max="5883" width="23.28515625" style="9"/>
    <col min="5884" max="5884" width="13.140625" style="9" customWidth="1"/>
    <col min="5885" max="5885" width="58" style="9" customWidth="1"/>
    <col min="5886" max="5886" width="25" style="9" customWidth="1"/>
    <col min="5887" max="5887" width="20.7109375" style="9" customWidth="1"/>
    <col min="5888" max="5888" width="25" style="9" customWidth="1"/>
    <col min="5889" max="6123" width="9.140625" style="9" customWidth="1"/>
    <col min="6124" max="6124" width="6" style="9" customWidth="1"/>
    <col min="6125" max="6125" width="50.28515625" style="9" customWidth="1"/>
    <col min="6126" max="6127" width="0" style="9" hidden="1" customWidth="1"/>
    <col min="6128" max="6128" width="20.7109375" style="9" customWidth="1"/>
    <col min="6129" max="6129" width="23.28515625" style="9" customWidth="1"/>
    <col min="6130" max="6139" width="23.28515625" style="9"/>
    <col min="6140" max="6140" width="13.140625" style="9" customWidth="1"/>
    <col min="6141" max="6141" width="58" style="9" customWidth="1"/>
    <col min="6142" max="6142" width="25" style="9" customWidth="1"/>
    <col min="6143" max="6143" width="20.7109375" style="9" customWidth="1"/>
    <col min="6144" max="6144" width="25" style="9" customWidth="1"/>
    <col min="6145" max="6379" width="9.140625" style="9" customWidth="1"/>
    <col min="6380" max="6380" width="6" style="9" customWidth="1"/>
    <col min="6381" max="6381" width="50.28515625" style="9" customWidth="1"/>
    <col min="6382" max="6383" width="0" style="9" hidden="1" customWidth="1"/>
    <col min="6384" max="6384" width="20.7109375" style="9" customWidth="1"/>
    <col min="6385" max="6385" width="23.28515625" style="9" customWidth="1"/>
    <col min="6386" max="6395" width="23.28515625" style="9"/>
    <col min="6396" max="6396" width="13.140625" style="9" customWidth="1"/>
    <col min="6397" max="6397" width="58" style="9" customWidth="1"/>
    <col min="6398" max="6398" width="25" style="9" customWidth="1"/>
    <col min="6399" max="6399" width="20.7109375" style="9" customWidth="1"/>
    <col min="6400" max="6400" width="25" style="9" customWidth="1"/>
    <col min="6401" max="6635" width="9.140625" style="9" customWidth="1"/>
    <col min="6636" max="6636" width="6" style="9" customWidth="1"/>
    <col min="6637" max="6637" width="50.28515625" style="9" customWidth="1"/>
    <col min="6638" max="6639" width="0" style="9" hidden="1" customWidth="1"/>
    <col min="6640" max="6640" width="20.7109375" style="9" customWidth="1"/>
    <col min="6641" max="6641" width="23.28515625" style="9" customWidth="1"/>
    <col min="6642" max="6651" width="23.28515625" style="9"/>
    <col min="6652" max="6652" width="13.140625" style="9" customWidth="1"/>
    <col min="6653" max="6653" width="58" style="9" customWidth="1"/>
    <col min="6654" max="6654" width="25" style="9" customWidth="1"/>
    <col min="6655" max="6655" width="20.7109375" style="9" customWidth="1"/>
    <col min="6656" max="6656" width="25" style="9" customWidth="1"/>
    <col min="6657" max="6891" width="9.140625" style="9" customWidth="1"/>
    <col min="6892" max="6892" width="6" style="9" customWidth="1"/>
    <col min="6893" max="6893" width="50.28515625" style="9" customWidth="1"/>
    <col min="6894" max="6895" width="0" style="9" hidden="1" customWidth="1"/>
    <col min="6896" max="6896" width="20.7109375" style="9" customWidth="1"/>
    <col min="6897" max="6897" width="23.28515625" style="9" customWidth="1"/>
    <col min="6898" max="6907" width="23.28515625" style="9"/>
    <col min="6908" max="6908" width="13.140625" style="9" customWidth="1"/>
    <col min="6909" max="6909" width="58" style="9" customWidth="1"/>
    <col min="6910" max="6910" width="25" style="9" customWidth="1"/>
    <col min="6911" max="6911" width="20.7109375" style="9" customWidth="1"/>
    <col min="6912" max="6912" width="25" style="9" customWidth="1"/>
    <col min="6913" max="7147" width="9.140625" style="9" customWidth="1"/>
    <col min="7148" max="7148" width="6" style="9" customWidth="1"/>
    <col min="7149" max="7149" width="50.28515625" style="9" customWidth="1"/>
    <col min="7150" max="7151" width="0" style="9" hidden="1" customWidth="1"/>
    <col min="7152" max="7152" width="20.7109375" style="9" customWidth="1"/>
    <col min="7153" max="7153" width="23.28515625" style="9" customWidth="1"/>
    <col min="7154" max="7163" width="23.28515625" style="9"/>
    <col min="7164" max="7164" width="13.140625" style="9" customWidth="1"/>
    <col min="7165" max="7165" width="58" style="9" customWidth="1"/>
    <col min="7166" max="7166" width="25" style="9" customWidth="1"/>
    <col min="7167" max="7167" width="20.7109375" style="9" customWidth="1"/>
    <col min="7168" max="7168" width="25" style="9" customWidth="1"/>
    <col min="7169" max="7403" width="9.140625" style="9" customWidth="1"/>
    <col min="7404" max="7404" width="6" style="9" customWidth="1"/>
    <col min="7405" max="7405" width="50.28515625" style="9" customWidth="1"/>
    <col min="7406" max="7407" width="0" style="9" hidden="1" customWidth="1"/>
    <col min="7408" max="7408" width="20.7109375" style="9" customWidth="1"/>
    <col min="7409" max="7409" width="23.28515625" style="9" customWidth="1"/>
    <col min="7410" max="7419" width="23.28515625" style="9"/>
    <col min="7420" max="7420" width="13.140625" style="9" customWidth="1"/>
    <col min="7421" max="7421" width="58" style="9" customWidth="1"/>
    <col min="7422" max="7422" width="25" style="9" customWidth="1"/>
    <col min="7423" max="7423" width="20.7109375" style="9" customWidth="1"/>
    <col min="7424" max="7424" width="25" style="9" customWidth="1"/>
    <col min="7425" max="7659" width="9.140625" style="9" customWidth="1"/>
    <col min="7660" max="7660" width="6" style="9" customWidth="1"/>
    <col min="7661" max="7661" width="50.28515625" style="9" customWidth="1"/>
    <col min="7662" max="7663" width="0" style="9" hidden="1" customWidth="1"/>
    <col min="7664" max="7664" width="20.7109375" style="9" customWidth="1"/>
    <col min="7665" max="7665" width="23.28515625" style="9" customWidth="1"/>
    <col min="7666" max="7675" width="23.28515625" style="9"/>
    <col min="7676" max="7676" width="13.140625" style="9" customWidth="1"/>
    <col min="7677" max="7677" width="58" style="9" customWidth="1"/>
    <col min="7678" max="7678" width="25" style="9" customWidth="1"/>
    <col min="7679" max="7679" width="20.7109375" style="9" customWidth="1"/>
    <col min="7680" max="7680" width="25" style="9" customWidth="1"/>
    <col min="7681" max="7915" width="9.140625" style="9" customWidth="1"/>
    <col min="7916" max="7916" width="6" style="9" customWidth="1"/>
    <col min="7917" max="7917" width="50.28515625" style="9" customWidth="1"/>
    <col min="7918" max="7919" width="0" style="9" hidden="1" customWidth="1"/>
    <col min="7920" max="7920" width="20.7109375" style="9" customWidth="1"/>
    <col min="7921" max="7921" width="23.28515625" style="9" customWidth="1"/>
    <col min="7922" max="7931" width="23.28515625" style="9"/>
    <col min="7932" max="7932" width="13.140625" style="9" customWidth="1"/>
    <col min="7933" max="7933" width="58" style="9" customWidth="1"/>
    <col min="7934" max="7934" width="25" style="9" customWidth="1"/>
    <col min="7935" max="7935" width="20.7109375" style="9" customWidth="1"/>
    <col min="7936" max="7936" width="25" style="9" customWidth="1"/>
    <col min="7937" max="8171" width="9.140625" style="9" customWidth="1"/>
    <col min="8172" max="8172" width="6" style="9" customWidth="1"/>
    <col min="8173" max="8173" width="50.28515625" style="9" customWidth="1"/>
    <col min="8174" max="8175" width="0" style="9" hidden="1" customWidth="1"/>
    <col min="8176" max="8176" width="20.7109375" style="9" customWidth="1"/>
    <col min="8177" max="8177" width="23.28515625" style="9" customWidth="1"/>
    <col min="8178" max="8187" width="23.28515625" style="9"/>
    <col min="8188" max="8188" width="13.140625" style="9" customWidth="1"/>
    <col min="8189" max="8189" width="58" style="9" customWidth="1"/>
    <col min="8190" max="8190" width="25" style="9" customWidth="1"/>
    <col min="8191" max="8191" width="20.7109375" style="9" customWidth="1"/>
    <col min="8192" max="8192" width="25" style="9" customWidth="1"/>
    <col min="8193" max="8427" width="9.140625" style="9" customWidth="1"/>
    <col min="8428" max="8428" width="6" style="9" customWidth="1"/>
    <col min="8429" max="8429" width="50.28515625" style="9" customWidth="1"/>
    <col min="8430" max="8431" width="0" style="9" hidden="1" customWidth="1"/>
    <col min="8432" max="8432" width="20.7109375" style="9" customWidth="1"/>
    <col min="8433" max="8433" width="23.28515625" style="9" customWidth="1"/>
    <col min="8434" max="8443" width="23.28515625" style="9"/>
    <col min="8444" max="8444" width="13.140625" style="9" customWidth="1"/>
    <col min="8445" max="8445" width="58" style="9" customWidth="1"/>
    <col min="8446" max="8446" width="25" style="9" customWidth="1"/>
    <col min="8447" max="8447" width="20.7109375" style="9" customWidth="1"/>
    <col min="8448" max="8448" width="25" style="9" customWidth="1"/>
    <col min="8449" max="8683" width="9.140625" style="9" customWidth="1"/>
    <col min="8684" max="8684" width="6" style="9" customWidth="1"/>
    <col min="8685" max="8685" width="50.28515625" style="9" customWidth="1"/>
    <col min="8686" max="8687" width="0" style="9" hidden="1" customWidth="1"/>
    <col min="8688" max="8688" width="20.7109375" style="9" customWidth="1"/>
    <col min="8689" max="8689" width="23.28515625" style="9" customWidth="1"/>
    <col min="8690" max="8699" width="23.28515625" style="9"/>
    <col min="8700" max="8700" width="13.140625" style="9" customWidth="1"/>
    <col min="8701" max="8701" width="58" style="9" customWidth="1"/>
    <col min="8702" max="8702" width="25" style="9" customWidth="1"/>
    <col min="8703" max="8703" width="20.7109375" style="9" customWidth="1"/>
    <col min="8704" max="8704" width="25" style="9" customWidth="1"/>
    <col min="8705" max="8939" width="9.140625" style="9" customWidth="1"/>
    <col min="8940" max="8940" width="6" style="9" customWidth="1"/>
    <col min="8941" max="8941" width="50.28515625" style="9" customWidth="1"/>
    <col min="8942" max="8943" width="0" style="9" hidden="1" customWidth="1"/>
    <col min="8944" max="8944" width="20.7109375" style="9" customWidth="1"/>
    <col min="8945" max="8945" width="23.28515625" style="9" customWidth="1"/>
    <col min="8946" max="8955" width="23.28515625" style="9"/>
    <col min="8956" max="8956" width="13.140625" style="9" customWidth="1"/>
    <col min="8957" max="8957" width="58" style="9" customWidth="1"/>
    <col min="8958" max="8958" width="25" style="9" customWidth="1"/>
    <col min="8959" max="8959" width="20.7109375" style="9" customWidth="1"/>
    <col min="8960" max="8960" width="25" style="9" customWidth="1"/>
    <col min="8961" max="9195" width="9.140625" style="9" customWidth="1"/>
    <col min="9196" max="9196" width="6" style="9" customWidth="1"/>
    <col min="9197" max="9197" width="50.28515625" style="9" customWidth="1"/>
    <col min="9198" max="9199" width="0" style="9" hidden="1" customWidth="1"/>
    <col min="9200" max="9200" width="20.7109375" style="9" customWidth="1"/>
    <col min="9201" max="9201" width="23.28515625" style="9" customWidth="1"/>
    <col min="9202" max="9211" width="23.28515625" style="9"/>
    <col min="9212" max="9212" width="13.140625" style="9" customWidth="1"/>
    <col min="9213" max="9213" width="58" style="9" customWidth="1"/>
    <col min="9214" max="9214" width="25" style="9" customWidth="1"/>
    <col min="9215" max="9215" width="20.7109375" style="9" customWidth="1"/>
    <col min="9216" max="9216" width="25" style="9" customWidth="1"/>
    <col min="9217" max="9451" width="9.140625" style="9" customWidth="1"/>
    <col min="9452" max="9452" width="6" style="9" customWidth="1"/>
    <col min="9453" max="9453" width="50.28515625" style="9" customWidth="1"/>
    <col min="9454" max="9455" width="0" style="9" hidden="1" customWidth="1"/>
    <col min="9456" max="9456" width="20.7109375" style="9" customWidth="1"/>
    <col min="9457" max="9457" width="23.28515625" style="9" customWidth="1"/>
    <col min="9458" max="9467" width="23.28515625" style="9"/>
    <col min="9468" max="9468" width="13.140625" style="9" customWidth="1"/>
    <col min="9469" max="9469" width="58" style="9" customWidth="1"/>
    <col min="9470" max="9470" width="25" style="9" customWidth="1"/>
    <col min="9471" max="9471" width="20.7109375" style="9" customWidth="1"/>
    <col min="9472" max="9472" width="25" style="9" customWidth="1"/>
    <col min="9473" max="9707" width="9.140625" style="9" customWidth="1"/>
    <col min="9708" max="9708" width="6" style="9" customWidth="1"/>
    <col min="9709" max="9709" width="50.28515625" style="9" customWidth="1"/>
    <col min="9710" max="9711" width="0" style="9" hidden="1" customWidth="1"/>
    <col min="9712" max="9712" width="20.7109375" style="9" customWidth="1"/>
    <col min="9713" max="9713" width="23.28515625" style="9" customWidth="1"/>
    <col min="9714" max="9723" width="23.28515625" style="9"/>
    <col min="9724" max="9724" width="13.140625" style="9" customWidth="1"/>
    <col min="9725" max="9725" width="58" style="9" customWidth="1"/>
    <col min="9726" max="9726" width="25" style="9" customWidth="1"/>
    <col min="9727" max="9727" width="20.7109375" style="9" customWidth="1"/>
    <col min="9728" max="9728" width="25" style="9" customWidth="1"/>
    <col min="9729" max="9963" width="9.140625" style="9" customWidth="1"/>
    <col min="9964" max="9964" width="6" style="9" customWidth="1"/>
    <col min="9965" max="9965" width="50.28515625" style="9" customWidth="1"/>
    <col min="9966" max="9967" width="0" style="9" hidden="1" customWidth="1"/>
    <col min="9968" max="9968" width="20.7109375" style="9" customWidth="1"/>
    <col min="9969" max="9969" width="23.28515625" style="9" customWidth="1"/>
    <col min="9970" max="9979" width="23.28515625" style="9"/>
    <col min="9980" max="9980" width="13.140625" style="9" customWidth="1"/>
    <col min="9981" max="9981" width="58" style="9" customWidth="1"/>
    <col min="9982" max="9982" width="25" style="9" customWidth="1"/>
    <col min="9983" max="9983" width="20.7109375" style="9" customWidth="1"/>
    <col min="9984" max="9984" width="25" style="9" customWidth="1"/>
    <col min="9985" max="10219" width="9.140625" style="9" customWidth="1"/>
    <col min="10220" max="10220" width="6" style="9" customWidth="1"/>
    <col min="10221" max="10221" width="50.28515625" style="9" customWidth="1"/>
    <col min="10222" max="10223" width="0" style="9" hidden="1" customWidth="1"/>
    <col min="10224" max="10224" width="20.7109375" style="9" customWidth="1"/>
    <col min="10225" max="10225" width="23.28515625" style="9" customWidth="1"/>
    <col min="10226" max="10235" width="23.28515625" style="9"/>
    <col min="10236" max="10236" width="13.140625" style="9" customWidth="1"/>
    <col min="10237" max="10237" width="58" style="9" customWidth="1"/>
    <col min="10238" max="10238" width="25" style="9" customWidth="1"/>
    <col min="10239" max="10239" width="20.7109375" style="9" customWidth="1"/>
    <col min="10240" max="10240" width="25" style="9" customWidth="1"/>
    <col min="10241" max="10475" width="9.140625" style="9" customWidth="1"/>
    <col min="10476" max="10476" width="6" style="9" customWidth="1"/>
    <col min="10477" max="10477" width="50.28515625" style="9" customWidth="1"/>
    <col min="10478" max="10479" width="0" style="9" hidden="1" customWidth="1"/>
    <col min="10480" max="10480" width="20.7109375" style="9" customWidth="1"/>
    <col min="10481" max="10481" width="23.28515625" style="9" customWidth="1"/>
    <col min="10482" max="10491" width="23.28515625" style="9"/>
    <col min="10492" max="10492" width="13.140625" style="9" customWidth="1"/>
    <col min="10493" max="10493" width="58" style="9" customWidth="1"/>
    <col min="10494" max="10494" width="25" style="9" customWidth="1"/>
    <col min="10495" max="10495" width="20.7109375" style="9" customWidth="1"/>
    <col min="10496" max="10496" width="25" style="9" customWidth="1"/>
    <col min="10497" max="10731" width="9.140625" style="9" customWidth="1"/>
    <col min="10732" max="10732" width="6" style="9" customWidth="1"/>
    <col min="10733" max="10733" width="50.28515625" style="9" customWidth="1"/>
    <col min="10734" max="10735" width="0" style="9" hidden="1" customWidth="1"/>
    <col min="10736" max="10736" width="20.7109375" style="9" customWidth="1"/>
    <col min="10737" max="10737" width="23.28515625" style="9" customWidth="1"/>
    <col min="10738" max="10747" width="23.28515625" style="9"/>
    <col min="10748" max="10748" width="13.140625" style="9" customWidth="1"/>
    <col min="10749" max="10749" width="58" style="9" customWidth="1"/>
    <col min="10750" max="10750" width="25" style="9" customWidth="1"/>
    <col min="10751" max="10751" width="20.7109375" style="9" customWidth="1"/>
    <col min="10752" max="10752" width="25" style="9" customWidth="1"/>
    <col min="10753" max="10987" width="9.140625" style="9" customWidth="1"/>
    <col min="10988" max="10988" width="6" style="9" customWidth="1"/>
    <col min="10989" max="10989" width="50.28515625" style="9" customWidth="1"/>
    <col min="10990" max="10991" width="0" style="9" hidden="1" customWidth="1"/>
    <col min="10992" max="10992" width="20.7109375" style="9" customWidth="1"/>
    <col min="10993" max="10993" width="23.28515625" style="9" customWidth="1"/>
    <col min="10994" max="11003" width="23.28515625" style="9"/>
    <col min="11004" max="11004" width="13.140625" style="9" customWidth="1"/>
    <col min="11005" max="11005" width="58" style="9" customWidth="1"/>
    <col min="11006" max="11006" width="25" style="9" customWidth="1"/>
    <col min="11007" max="11007" width="20.7109375" style="9" customWidth="1"/>
    <col min="11008" max="11008" width="25" style="9" customWidth="1"/>
    <col min="11009" max="11243" width="9.140625" style="9" customWidth="1"/>
    <col min="11244" max="11244" width="6" style="9" customWidth="1"/>
    <col min="11245" max="11245" width="50.28515625" style="9" customWidth="1"/>
    <col min="11246" max="11247" width="0" style="9" hidden="1" customWidth="1"/>
    <col min="11248" max="11248" width="20.7109375" style="9" customWidth="1"/>
    <col min="11249" max="11249" width="23.28515625" style="9" customWidth="1"/>
    <col min="11250" max="11259" width="23.28515625" style="9"/>
    <col min="11260" max="11260" width="13.140625" style="9" customWidth="1"/>
    <col min="11261" max="11261" width="58" style="9" customWidth="1"/>
    <col min="11262" max="11262" width="25" style="9" customWidth="1"/>
    <col min="11263" max="11263" width="20.7109375" style="9" customWidth="1"/>
    <col min="11264" max="11264" width="25" style="9" customWidth="1"/>
    <col min="11265" max="11499" width="9.140625" style="9" customWidth="1"/>
    <col min="11500" max="11500" width="6" style="9" customWidth="1"/>
    <col min="11501" max="11501" width="50.28515625" style="9" customWidth="1"/>
    <col min="11502" max="11503" width="0" style="9" hidden="1" customWidth="1"/>
    <col min="11504" max="11504" width="20.7109375" style="9" customWidth="1"/>
    <col min="11505" max="11505" width="23.28515625" style="9" customWidth="1"/>
    <col min="11506" max="11515" width="23.28515625" style="9"/>
    <col min="11516" max="11516" width="13.140625" style="9" customWidth="1"/>
    <col min="11517" max="11517" width="58" style="9" customWidth="1"/>
    <col min="11518" max="11518" width="25" style="9" customWidth="1"/>
    <col min="11519" max="11519" width="20.7109375" style="9" customWidth="1"/>
    <col min="11520" max="11520" width="25" style="9" customWidth="1"/>
    <col min="11521" max="11755" width="9.140625" style="9" customWidth="1"/>
    <col min="11756" max="11756" width="6" style="9" customWidth="1"/>
    <col min="11757" max="11757" width="50.28515625" style="9" customWidth="1"/>
    <col min="11758" max="11759" width="0" style="9" hidden="1" customWidth="1"/>
    <col min="11760" max="11760" width="20.7109375" style="9" customWidth="1"/>
    <col min="11761" max="11761" width="23.28515625" style="9" customWidth="1"/>
    <col min="11762" max="11771" width="23.28515625" style="9"/>
    <col min="11772" max="11772" width="13.140625" style="9" customWidth="1"/>
    <col min="11773" max="11773" width="58" style="9" customWidth="1"/>
    <col min="11774" max="11774" width="25" style="9" customWidth="1"/>
    <col min="11775" max="11775" width="20.7109375" style="9" customWidth="1"/>
    <col min="11776" max="11776" width="25" style="9" customWidth="1"/>
    <col min="11777" max="12011" width="9.140625" style="9" customWidth="1"/>
    <col min="12012" max="12012" width="6" style="9" customWidth="1"/>
    <col min="12013" max="12013" width="50.28515625" style="9" customWidth="1"/>
    <col min="12014" max="12015" width="0" style="9" hidden="1" customWidth="1"/>
    <col min="12016" max="12016" width="20.7109375" style="9" customWidth="1"/>
    <col min="12017" max="12017" width="23.28515625" style="9" customWidth="1"/>
    <col min="12018" max="12027" width="23.28515625" style="9"/>
    <col min="12028" max="12028" width="13.140625" style="9" customWidth="1"/>
    <col min="12029" max="12029" width="58" style="9" customWidth="1"/>
    <col min="12030" max="12030" width="25" style="9" customWidth="1"/>
    <col min="12031" max="12031" width="20.7109375" style="9" customWidth="1"/>
    <col min="12032" max="12032" width="25" style="9" customWidth="1"/>
    <col min="12033" max="12267" width="9.140625" style="9" customWidth="1"/>
    <col min="12268" max="12268" width="6" style="9" customWidth="1"/>
    <col min="12269" max="12269" width="50.28515625" style="9" customWidth="1"/>
    <col min="12270" max="12271" width="0" style="9" hidden="1" customWidth="1"/>
    <col min="12272" max="12272" width="20.7109375" style="9" customWidth="1"/>
    <col min="12273" max="12273" width="23.28515625" style="9" customWidth="1"/>
    <col min="12274" max="12283" width="23.28515625" style="9"/>
    <col min="12284" max="12284" width="13.140625" style="9" customWidth="1"/>
    <col min="12285" max="12285" width="58" style="9" customWidth="1"/>
    <col min="12286" max="12286" width="25" style="9" customWidth="1"/>
    <col min="12287" max="12287" width="20.7109375" style="9" customWidth="1"/>
    <col min="12288" max="12288" width="25" style="9" customWidth="1"/>
    <col min="12289" max="12523" width="9.140625" style="9" customWidth="1"/>
    <col min="12524" max="12524" width="6" style="9" customWidth="1"/>
    <col min="12525" max="12525" width="50.28515625" style="9" customWidth="1"/>
    <col min="12526" max="12527" width="0" style="9" hidden="1" customWidth="1"/>
    <col min="12528" max="12528" width="20.7109375" style="9" customWidth="1"/>
    <col min="12529" max="12529" width="23.28515625" style="9" customWidth="1"/>
    <col min="12530" max="12539" width="23.28515625" style="9"/>
    <col min="12540" max="12540" width="13.140625" style="9" customWidth="1"/>
    <col min="12541" max="12541" width="58" style="9" customWidth="1"/>
    <col min="12542" max="12542" width="25" style="9" customWidth="1"/>
    <col min="12543" max="12543" width="20.7109375" style="9" customWidth="1"/>
    <col min="12544" max="12544" width="25" style="9" customWidth="1"/>
    <col min="12545" max="12779" width="9.140625" style="9" customWidth="1"/>
    <col min="12780" max="12780" width="6" style="9" customWidth="1"/>
    <col min="12781" max="12781" width="50.28515625" style="9" customWidth="1"/>
    <col min="12782" max="12783" width="0" style="9" hidden="1" customWidth="1"/>
    <col min="12784" max="12784" width="20.7109375" style="9" customWidth="1"/>
    <col min="12785" max="12785" width="23.28515625" style="9" customWidth="1"/>
    <col min="12786" max="12795" width="23.28515625" style="9"/>
    <col min="12796" max="12796" width="13.140625" style="9" customWidth="1"/>
    <col min="12797" max="12797" width="58" style="9" customWidth="1"/>
    <col min="12798" max="12798" width="25" style="9" customWidth="1"/>
    <col min="12799" max="12799" width="20.7109375" style="9" customWidth="1"/>
    <col min="12800" max="12800" width="25" style="9" customWidth="1"/>
    <col min="12801" max="13035" width="9.140625" style="9" customWidth="1"/>
    <col min="13036" max="13036" width="6" style="9" customWidth="1"/>
    <col min="13037" max="13037" width="50.28515625" style="9" customWidth="1"/>
    <col min="13038" max="13039" width="0" style="9" hidden="1" customWidth="1"/>
    <col min="13040" max="13040" width="20.7109375" style="9" customWidth="1"/>
    <col min="13041" max="13041" width="23.28515625" style="9" customWidth="1"/>
    <col min="13042" max="13051" width="23.28515625" style="9"/>
    <col min="13052" max="13052" width="13.140625" style="9" customWidth="1"/>
    <col min="13053" max="13053" width="58" style="9" customWidth="1"/>
    <col min="13054" max="13054" width="25" style="9" customWidth="1"/>
    <col min="13055" max="13055" width="20.7109375" style="9" customWidth="1"/>
    <col min="13056" max="13056" width="25" style="9" customWidth="1"/>
    <col min="13057" max="13291" width="9.140625" style="9" customWidth="1"/>
    <col min="13292" max="13292" width="6" style="9" customWidth="1"/>
    <col min="13293" max="13293" width="50.28515625" style="9" customWidth="1"/>
    <col min="13294" max="13295" width="0" style="9" hidden="1" customWidth="1"/>
    <col min="13296" max="13296" width="20.7109375" style="9" customWidth="1"/>
    <col min="13297" max="13297" width="23.28515625" style="9" customWidth="1"/>
    <col min="13298" max="13307" width="23.28515625" style="9"/>
    <col min="13308" max="13308" width="13.140625" style="9" customWidth="1"/>
    <col min="13309" max="13309" width="58" style="9" customWidth="1"/>
    <col min="13310" max="13310" width="25" style="9" customWidth="1"/>
    <col min="13311" max="13311" width="20.7109375" style="9" customWidth="1"/>
    <col min="13312" max="13312" width="25" style="9" customWidth="1"/>
    <col min="13313" max="13547" width="9.140625" style="9" customWidth="1"/>
    <col min="13548" max="13548" width="6" style="9" customWidth="1"/>
    <col min="13549" max="13549" width="50.28515625" style="9" customWidth="1"/>
    <col min="13550" max="13551" width="0" style="9" hidden="1" customWidth="1"/>
    <col min="13552" max="13552" width="20.7109375" style="9" customWidth="1"/>
    <col min="13553" max="13553" width="23.28515625" style="9" customWidth="1"/>
    <col min="13554" max="13563" width="23.28515625" style="9"/>
    <col min="13564" max="13564" width="13.140625" style="9" customWidth="1"/>
    <col min="13565" max="13565" width="58" style="9" customWidth="1"/>
    <col min="13566" max="13566" width="25" style="9" customWidth="1"/>
    <col min="13567" max="13567" width="20.7109375" style="9" customWidth="1"/>
    <col min="13568" max="13568" width="25" style="9" customWidth="1"/>
    <col min="13569" max="13803" width="9.140625" style="9" customWidth="1"/>
    <col min="13804" max="13804" width="6" style="9" customWidth="1"/>
    <col min="13805" max="13805" width="50.28515625" style="9" customWidth="1"/>
    <col min="13806" max="13807" width="0" style="9" hidden="1" customWidth="1"/>
    <col min="13808" max="13808" width="20.7109375" style="9" customWidth="1"/>
    <col min="13809" max="13809" width="23.28515625" style="9" customWidth="1"/>
    <col min="13810" max="13819" width="23.28515625" style="9"/>
    <col min="13820" max="13820" width="13.140625" style="9" customWidth="1"/>
    <col min="13821" max="13821" width="58" style="9" customWidth="1"/>
    <col min="13822" max="13822" width="25" style="9" customWidth="1"/>
    <col min="13823" max="13823" width="20.7109375" style="9" customWidth="1"/>
    <col min="13824" max="13824" width="25" style="9" customWidth="1"/>
    <col min="13825" max="14059" width="9.140625" style="9" customWidth="1"/>
    <col min="14060" max="14060" width="6" style="9" customWidth="1"/>
    <col min="14061" max="14061" width="50.28515625" style="9" customWidth="1"/>
    <col min="14062" max="14063" width="0" style="9" hidden="1" customWidth="1"/>
    <col min="14064" max="14064" width="20.7109375" style="9" customWidth="1"/>
    <col min="14065" max="14065" width="23.28515625" style="9" customWidth="1"/>
    <col min="14066" max="14075" width="23.28515625" style="9"/>
    <col min="14076" max="14076" width="13.140625" style="9" customWidth="1"/>
    <col min="14077" max="14077" width="58" style="9" customWidth="1"/>
    <col min="14078" max="14078" width="25" style="9" customWidth="1"/>
    <col min="14079" max="14079" width="20.7109375" style="9" customWidth="1"/>
    <col min="14080" max="14080" width="25" style="9" customWidth="1"/>
    <col min="14081" max="14315" width="9.140625" style="9" customWidth="1"/>
    <col min="14316" max="14316" width="6" style="9" customWidth="1"/>
    <col min="14317" max="14317" width="50.28515625" style="9" customWidth="1"/>
    <col min="14318" max="14319" width="0" style="9" hidden="1" customWidth="1"/>
    <col min="14320" max="14320" width="20.7109375" style="9" customWidth="1"/>
    <col min="14321" max="14321" width="23.28515625" style="9" customWidth="1"/>
    <col min="14322" max="14331" width="23.28515625" style="9"/>
    <col min="14332" max="14332" width="13.140625" style="9" customWidth="1"/>
    <col min="14333" max="14333" width="58" style="9" customWidth="1"/>
    <col min="14334" max="14334" width="25" style="9" customWidth="1"/>
    <col min="14335" max="14335" width="20.7109375" style="9" customWidth="1"/>
    <col min="14336" max="14336" width="25" style="9" customWidth="1"/>
    <col min="14337" max="14571" width="9.140625" style="9" customWidth="1"/>
    <col min="14572" max="14572" width="6" style="9" customWidth="1"/>
    <col min="14573" max="14573" width="50.28515625" style="9" customWidth="1"/>
    <col min="14574" max="14575" width="0" style="9" hidden="1" customWidth="1"/>
    <col min="14576" max="14576" width="20.7109375" style="9" customWidth="1"/>
    <col min="14577" max="14577" width="23.28515625" style="9" customWidth="1"/>
    <col min="14578" max="14587" width="23.28515625" style="9"/>
    <col min="14588" max="14588" width="13.140625" style="9" customWidth="1"/>
    <col min="14589" max="14589" width="58" style="9" customWidth="1"/>
    <col min="14590" max="14590" width="25" style="9" customWidth="1"/>
    <col min="14591" max="14591" width="20.7109375" style="9" customWidth="1"/>
    <col min="14592" max="14592" width="25" style="9" customWidth="1"/>
    <col min="14593" max="14827" width="9.140625" style="9" customWidth="1"/>
    <col min="14828" max="14828" width="6" style="9" customWidth="1"/>
    <col min="14829" max="14829" width="50.28515625" style="9" customWidth="1"/>
    <col min="14830" max="14831" width="0" style="9" hidden="1" customWidth="1"/>
    <col min="14832" max="14832" width="20.7109375" style="9" customWidth="1"/>
    <col min="14833" max="14833" width="23.28515625" style="9" customWidth="1"/>
    <col min="14834" max="14843" width="23.28515625" style="9"/>
    <col min="14844" max="14844" width="13.140625" style="9" customWidth="1"/>
    <col min="14845" max="14845" width="58" style="9" customWidth="1"/>
    <col min="14846" max="14846" width="25" style="9" customWidth="1"/>
    <col min="14847" max="14847" width="20.7109375" style="9" customWidth="1"/>
    <col min="14848" max="14848" width="25" style="9" customWidth="1"/>
    <col min="14849" max="15083" width="9.140625" style="9" customWidth="1"/>
    <col min="15084" max="15084" width="6" style="9" customWidth="1"/>
    <col min="15085" max="15085" width="50.28515625" style="9" customWidth="1"/>
    <col min="15086" max="15087" width="0" style="9" hidden="1" customWidth="1"/>
    <col min="15088" max="15088" width="20.7109375" style="9" customWidth="1"/>
    <col min="15089" max="15089" width="23.28515625" style="9" customWidth="1"/>
    <col min="15090" max="15099" width="23.28515625" style="9"/>
    <col min="15100" max="15100" width="13.140625" style="9" customWidth="1"/>
    <col min="15101" max="15101" width="58" style="9" customWidth="1"/>
    <col min="15102" max="15102" width="25" style="9" customWidth="1"/>
    <col min="15103" max="15103" width="20.7109375" style="9" customWidth="1"/>
    <col min="15104" max="15104" width="25" style="9" customWidth="1"/>
    <col min="15105" max="15339" width="9.140625" style="9" customWidth="1"/>
    <col min="15340" max="15340" width="6" style="9" customWidth="1"/>
    <col min="15341" max="15341" width="50.28515625" style="9" customWidth="1"/>
    <col min="15342" max="15343" width="0" style="9" hidden="1" customWidth="1"/>
    <col min="15344" max="15344" width="20.7109375" style="9" customWidth="1"/>
    <col min="15345" max="15345" width="23.28515625" style="9" customWidth="1"/>
    <col min="15346" max="15355" width="23.28515625" style="9"/>
    <col min="15356" max="15356" width="13.140625" style="9" customWidth="1"/>
    <col min="15357" max="15357" width="58" style="9" customWidth="1"/>
    <col min="15358" max="15358" width="25" style="9" customWidth="1"/>
    <col min="15359" max="15359" width="20.7109375" style="9" customWidth="1"/>
    <col min="15360" max="15360" width="25" style="9" customWidth="1"/>
    <col min="15361" max="15595" width="9.140625" style="9" customWidth="1"/>
    <col min="15596" max="15596" width="6" style="9" customWidth="1"/>
    <col min="15597" max="15597" width="50.28515625" style="9" customWidth="1"/>
    <col min="15598" max="15599" width="0" style="9" hidden="1" customWidth="1"/>
    <col min="15600" max="15600" width="20.7109375" style="9" customWidth="1"/>
    <col min="15601" max="15601" width="23.28515625" style="9" customWidth="1"/>
    <col min="15602" max="15611" width="23.28515625" style="9"/>
    <col min="15612" max="15612" width="13.140625" style="9" customWidth="1"/>
    <col min="15613" max="15613" width="58" style="9" customWidth="1"/>
    <col min="15614" max="15614" width="25" style="9" customWidth="1"/>
    <col min="15615" max="15615" width="20.7109375" style="9" customWidth="1"/>
    <col min="15616" max="15616" width="25" style="9" customWidth="1"/>
    <col min="15617" max="15851" width="9.140625" style="9" customWidth="1"/>
    <col min="15852" max="15852" width="6" style="9" customWidth="1"/>
    <col min="15853" max="15853" width="50.28515625" style="9" customWidth="1"/>
    <col min="15854" max="15855" width="0" style="9" hidden="1" customWidth="1"/>
    <col min="15856" max="15856" width="20.7109375" style="9" customWidth="1"/>
    <col min="15857" max="15857" width="23.28515625" style="9" customWidth="1"/>
    <col min="15858" max="15867" width="23.28515625" style="9"/>
    <col min="15868" max="15868" width="13.140625" style="9" customWidth="1"/>
    <col min="15869" max="15869" width="58" style="9" customWidth="1"/>
    <col min="15870" max="15870" width="25" style="9" customWidth="1"/>
    <col min="15871" max="15871" width="20.7109375" style="9" customWidth="1"/>
    <col min="15872" max="15872" width="25" style="9" customWidth="1"/>
    <col min="15873" max="16107" width="9.140625" style="9" customWidth="1"/>
    <col min="16108" max="16108" width="6" style="9" customWidth="1"/>
    <col min="16109" max="16109" width="50.28515625" style="9" customWidth="1"/>
    <col min="16110" max="16111" width="0" style="9" hidden="1" customWidth="1"/>
    <col min="16112" max="16112" width="20.7109375" style="9" customWidth="1"/>
    <col min="16113" max="16113" width="23.28515625" style="9" customWidth="1"/>
    <col min="16114" max="16123" width="23.28515625" style="9"/>
    <col min="16124" max="16124" width="13.140625" style="9" customWidth="1"/>
    <col min="16125" max="16125" width="58" style="9" customWidth="1"/>
    <col min="16126" max="16126" width="25" style="9" customWidth="1"/>
    <col min="16127" max="16127" width="20.7109375" style="9" customWidth="1"/>
    <col min="16128" max="16128" width="25" style="9" customWidth="1"/>
    <col min="16129" max="16363" width="9.140625" style="9" customWidth="1"/>
    <col min="16364" max="16364" width="6" style="9" customWidth="1"/>
    <col min="16365" max="16365" width="50.28515625" style="9" customWidth="1"/>
    <col min="16366" max="16367" width="0" style="9" hidden="1" customWidth="1"/>
    <col min="16368" max="16368" width="20.7109375" style="9" customWidth="1"/>
    <col min="16369" max="16369" width="23.28515625" style="9" customWidth="1"/>
    <col min="16370" max="16384" width="23.28515625" style="9"/>
  </cols>
  <sheetData>
    <row r="1" spans="1:241" ht="15.75">
      <c r="A1" s="422"/>
      <c r="B1" s="512" t="s">
        <v>570</v>
      </c>
      <c r="C1" s="512"/>
      <c r="D1" s="512"/>
      <c r="E1" s="512"/>
      <c r="F1" s="512"/>
      <c r="G1" s="512"/>
      <c r="H1" s="51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41" ht="15.75">
      <c r="A2" s="422" t="s">
        <v>569</v>
      </c>
      <c r="B2" s="538" t="s">
        <v>571</v>
      </c>
      <c r="C2" s="538"/>
      <c r="D2" s="538"/>
      <c r="E2" s="538"/>
      <c r="F2" s="538"/>
      <c r="G2" s="538"/>
      <c r="H2" s="53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</row>
    <row r="3" spans="1:241" ht="15.75">
      <c r="B3" s="512" t="s">
        <v>512</v>
      </c>
      <c r="C3" s="512"/>
      <c r="D3" s="512"/>
      <c r="E3" s="512"/>
      <c r="F3" s="512"/>
      <c r="G3" s="512"/>
      <c r="H3" s="512"/>
    </row>
    <row r="4" spans="1:241" ht="15.75">
      <c r="E4" s="421"/>
      <c r="F4" s="421"/>
      <c r="G4" s="421"/>
      <c r="H4" s="421"/>
    </row>
    <row r="5" spans="1:241" ht="15.75">
      <c r="A5" s="14" t="s">
        <v>106</v>
      </c>
      <c r="B5" s="15" t="s">
        <v>107</v>
      </c>
      <c r="C5" s="17">
        <v>2013</v>
      </c>
      <c r="D5" s="17">
        <v>2014</v>
      </c>
      <c r="E5" s="17">
        <v>2015</v>
      </c>
      <c r="F5" s="17">
        <v>2016</v>
      </c>
      <c r="G5" s="17">
        <v>2017</v>
      </c>
      <c r="H5" s="17">
        <v>2018</v>
      </c>
      <c r="I5" s="8" t="s">
        <v>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9"/>
    </row>
    <row r="6" spans="1:241" ht="15.75">
      <c r="A6" s="19" t="s">
        <v>109</v>
      </c>
      <c r="B6" s="20" t="s">
        <v>110</v>
      </c>
      <c r="C6" s="21">
        <f t="shared" ref="C6:H6" si="0">C7+C12+C17</f>
        <v>1039172438000</v>
      </c>
      <c r="D6" s="21">
        <f t="shared" si="0"/>
        <v>1133980164950</v>
      </c>
      <c r="E6" s="21">
        <f t="shared" si="0"/>
        <v>1248007530999.5481</v>
      </c>
      <c r="F6" s="21">
        <f t="shared" si="0"/>
        <v>1317992595000.4731</v>
      </c>
      <c r="G6" s="21">
        <f t="shared" si="0"/>
        <v>1383602906000.0952</v>
      </c>
      <c r="H6" s="21">
        <f t="shared" si="0"/>
        <v>1464813082250.4517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9"/>
    </row>
    <row r="7" spans="1:241" ht="15.75">
      <c r="A7" s="19" t="s">
        <v>111</v>
      </c>
      <c r="B7" s="20" t="s">
        <v>112</v>
      </c>
      <c r="C7" s="22">
        <f t="shared" ref="C7:H7" si="1">SUM(C8:C11)</f>
        <v>91966542000</v>
      </c>
      <c r="D7" s="22">
        <f t="shared" si="1"/>
        <v>98995824950</v>
      </c>
      <c r="E7" s="22">
        <f t="shared" si="1"/>
        <v>121900487000</v>
      </c>
      <c r="F7" s="22">
        <f t="shared" si="1"/>
        <v>127171160000</v>
      </c>
      <c r="G7" s="22">
        <f t="shared" si="1"/>
        <v>115600114000</v>
      </c>
      <c r="H7" s="22">
        <f t="shared" si="1"/>
        <v>121035621250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9"/>
    </row>
    <row r="8" spans="1:241" ht="15.75">
      <c r="A8" s="23" t="s">
        <v>113</v>
      </c>
      <c r="B8" s="24" t="s">
        <v>114</v>
      </c>
      <c r="C8" s="25">
        <v>23826100000</v>
      </c>
      <c r="D8" s="25">
        <v>23867000000</v>
      </c>
      <c r="E8" s="25">
        <f>+'Pro-Pdpt'!M7</f>
        <v>26769671000</v>
      </c>
      <c r="F8" s="25">
        <f>+'Pro-Pdpt'!N7</f>
        <v>27849314000</v>
      </c>
      <c r="G8" s="25">
        <f>+'Pro-Pdpt'!O7</f>
        <v>30234958000</v>
      </c>
      <c r="H8" s="25">
        <f>+'Pro-Pdpt'!P7</f>
        <v>31818635000</v>
      </c>
      <c r="IG8" s="9"/>
    </row>
    <row r="9" spans="1:241" ht="15.75">
      <c r="A9" s="28" t="s">
        <v>115</v>
      </c>
      <c r="B9" s="29" t="s">
        <v>116</v>
      </c>
      <c r="C9" s="30">
        <v>14656229000</v>
      </c>
      <c r="D9" s="30">
        <v>24845904950</v>
      </c>
      <c r="E9" s="25">
        <f>+'Pro-Pdpt'!M8</f>
        <v>25077816000</v>
      </c>
      <c r="F9" s="25">
        <f>+'Pro-Pdpt'!N8</f>
        <v>25391186000</v>
      </c>
      <c r="G9" s="25">
        <f>+'Pro-Pdpt'!O8</f>
        <v>25752418000</v>
      </c>
      <c r="H9" s="25">
        <f>+'Pro-Pdpt'!P8</f>
        <v>26097229250</v>
      </c>
      <c r="IG9" s="9"/>
    </row>
    <row r="10" spans="1:241" ht="21">
      <c r="A10" s="28" t="s">
        <v>117</v>
      </c>
      <c r="B10" s="29" t="s">
        <v>118</v>
      </c>
      <c r="C10" s="30">
        <v>10831063000</v>
      </c>
      <c r="D10" s="30">
        <v>9640000000</v>
      </c>
      <c r="E10" s="25">
        <f>+'Pro-Pdpt'!M9</f>
        <v>10604000000</v>
      </c>
      <c r="F10" s="25">
        <f>+'Pro-Pdpt'!N9</f>
        <v>12748899999.999998</v>
      </c>
      <c r="G10" s="25">
        <f>+'Pro-Pdpt'!O9</f>
        <v>14661234999.999996</v>
      </c>
      <c r="H10" s="25">
        <f>+'Pro-Pdpt'!P9</f>
        <v>16860417999.999996</v>
      </c>
      <c r="IG10" s="9"/>
    </row>
    <row r="11" spans="1:241" ht="21">
      <c r="A11" s="33" t="s">
        <v>119</v>
      </c>
      <c r="B11" s="34" t="s">
        <v>120</v>
      </c>
      <c r="C11" s="35">
        <v>42653150000</v>
      </c>
      <c r="D11" s="35">
        <v>40642920000</v>
      </c>
      <c r="E11" s="25">
        <f>+'Pro-Pdpt'!M10</f>
        <v>59449000000</v>
      </c>
      <c r="F11" s="25">
        <f>+'Pro-Pdpt'!N10</f>
        <v>61181760000</v>
      </c>
      <c r="G11" s="25">
        <f>+'Pro-Pdpt'!O10</f>
        <v>44951503000</v>
      </c>
      <c r="H11" s="25">
        <f>+'Pro-Pdpt'!P10</f>
        <v>46259339000</v>
      </c>
      <c r="IG11" s="9"/>
    </row>
    <row r="12" spans="1:241" ht="15.75">
      <c r="A12" s="19" t="s">
        <v>121</v>
      </c>
      <c r="B12" s="20" t="s">
        <v>122</v>
      </c>
      <c r="C12" s="21">
        <f t="shared" ref="C12" si="2">SUM(C13:C15)</f>
        <v>749673444000</v>
      </c>
      <c r="D12" s="21">
        <f>SUM(D13:D16)</f>
        <v>817035690000</v>
      </c>
      <c r="E12" s="21">
        <f t="shared" ref="E12:G12" si="3">SUM(E13:E16)</f>
        <v>901921743999.5481</v>
      </c>
      <c r="F12" s="21">
        <f t="shared" si="3"/>
        <v>966067046000.47302</v>
      </c>
      <c r="G12" s="21">
        <f t="shared" si="3"/>
        <v>1042030626000.0953</v>
      </c>
      <c r="H12" s="21">
        <f>SUM(H13:H16)+1</f>
        <v>1116553844000.4517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9"/>
    </row>
    <row r="13" spans="1:241" ht="15.75">
      <c r="A13" s="23" t="s">
        <v>123</v>
      </c>
      <c r="B13" s="24" t="s">
        <v>124</v>
      </c>
      <c r="C13" s="25">
        <v>51843530000</v>
      </c>
      <c r="D13" s="25">
        <v>48568127000</v>
      </c>
      <c r="E13" s="25">
        <f>+'Pro-Pdpt'!M12</f>
        <v>53760500000</v>
      </c>
      <c r="F13" s="25">
        <f>+'Pro-Pdpt'!N12</f>
        <v>54486500000</v>
      </c>
      <c r="G13" s="25">
        <f>+'Pro-Pdpt'!O12</f>
        <v>55202500000</v>
      </c>
      <c r="H13" s="25">
        <f>+'Pro-Pdpt'!P12</f>
        <v>56119500000</v>
      </c>
      <c r="IG13" s="9"/>
    </row>
    <row r="14" spans="1:241" ht="15.75">
      <c r="A14" s="28" t="s">
        <v>125</v>
      </c>
      <c r="B14" s="29" t="s">
        <v>126</v>
      </c>
      <c r="C14" s="30">
        <v>651171674000</v>
      </c>
      <c r="D14" s="30">
        <v>708764753000</v>
      </c>
      <c r="E14" s="25">
        <f>+'[1]RCN 2014 (3)'!L160</f>
        <v>765757349999.5481</v>
      </c>
      <c r="F14" s="25">
        <f>+'[1]RCN 2014 (3)'!M160</f>
        <v>827424535000.47302</v>
      </c>
      <c r="G14" s="25">
        <f>+'[1]RCN 2014 (3)'!N160</f>
        <v>897867435000.22534</v>
      </c>
      <c r="H14" s="25">
        <f>+'[1]RCN 2014 (3)'!O160</f>
        <v>969614831999.69543</v>
      </c>
      <c r="I14" s="289"/>
      <c r="IG14" s="9"/>
    </row>
    <row r="15" spans="1:241" ht="15.75">
      <c r="A15" s="33" t="s">
        <v>127</v>
      </c>
      <c r="B15" s="34" t="s">
        <v>128</v>
      </c>
      <c r="C15" s="35">
        <v>46658240000</v>
      </c>
      <c r="D15" s="35">
        <v>56702810000</v>
      </c>
      <c r="E15" s="25">
        <f>+'[1]RCN 2014 (3)'!L163</f>
        <v>79403894000</v>
      </c>
      <c r="F15" s="25">
        <f>+'[1]RCN 2014 (3)'!M163</f>
        <v>81156011000</v>
      </c>
      <c r="G15" s="25">
        <f>+'[1]RCN 2014 (3)'!N163</f>
        <v>85960690999.869995</v>
      </c>
      <c r="H15" s="25">
        <f>+'[1]RCN 2014 (3)'!O163</f>
        <v>87819511999.756104</v>
      </c>
      <c r="IG15" s="9"/>
    </row>
    <row r="16" spans="1:241" ht="15.75">
      <c r="A16" s="288"/>
      <c r="B16" s="287" t="s">
        <v>423</v>
      </c>
      <c r="C16" s="284"/>
      <c r="D16" s="284">
        <v>3000000000</v>
      </c>
      <c r="E16" s="314">
        <f>+'Pro-Pdpt'!M15</f>
        <v>3000000000</v>
      </c>
      <c r="F16" s="315">
        <f>+E16</f>
        <v>3000000000</v>
      </c>
      <c r="G16" s="315">
        <f>+F16</f>
        <v>3000000000</v>
      </c>
      <c r="H16" s="315">
        <f>+G16</f>
        <v>3000000000</v>
      </c>
      <c r="IG16" s="9"/>
    </row>
    <row r="17" spans="1:241" ht="15.75">
      <c r="A17" s="19" t="s">
        <v>129</v>
      </c>
      <c r="B17" s="20" t="s">
        <v>130</v>
      </c>
      <c r="C17" s="21">
        <f t="shared" ref="C17:H17" si="4">SUM(C18:C21)</f>
        <v>197532452000</v>
      </c>
      <c r="D17" s="21">
        <f t="shared" si="4"/>
        <v>217948650000</v>
      </c>
      <c r="E17" s="21">
        <f t="shared" si="4"/>
        <v>224185300000</v>
      </c>
      <c r="F17" s="21">
        <f t="shared" si="4"/>
        <v>224754389000</v>
      </c>
      <c r="G17" s="21">
        <f t="shared" si="4"/>
        <v>225972166000</v>
      </c>
      <c r="H17" s="21">
        <f t="shared" si="4"/>
        <v>227223617000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9"/>
    </row>
    <row r="18" spans="1:241" ht="15.75">
      <c r="A18" s="23" t="s">
        <v>131</v>
      </c>
      <c r="B18" s="24" t="s">
        <v>132</v>
      </c>
      <c r="C18" s="25">
        <v>1051910000</v>
      </c>
      <c r="D18" s="25">
        <v>616150000</v>
      </c>
      <c r="E18" s="25">
        <f>+'Pro-Pdpt'!M17</f>
        <v>616150000</v>
      </c>
      <c r="F18" s="25">
        <f>+'Pro-Pdpt'!N17</f>
        <v>0</v>
      </c>
      <c r="G18" s="25">
        <f>+'Pro-Pdpt'!O17</f>
        <v>0</v>
      </c>
      <c r="H18" s="25">
        <f>+'Pro-Pdpt'!P17</f>
        <v>0</v>
      </c>
      <c r="IG18" s="9"/>
    </row>
    <row r="19" spans="1:241" ht="21">
      <c r="A19" s="28" t="s">
        <v>133</v>
      </c>
      <c r="B19" s="29" t="s">
        <v>134</v>
      </c>
      <c r="C19" s="30">
        <v>31916581000</v>
      </c>
      <c r="D19" s="30">
        <v>41338000000</v>
      </c>
      <c r="E19" s="25">
        <f>+'Pro-Pdpt'!M18</f>
        <v>44815750000</v>
      </c>
      <c r="F19" s="25">
        <f>+'Pro-Pdpt'!N18</f>
        <v>46000988999.999992</v>
      </c>
      <c r="G19" s="25">
        <f>+'Pro-Pdpt'!O18</f>
        <v>47218765999.999985</v>
      </c>
      <c r="H19" s="25">
        <f>+'Pro-Pdpt'!P18</f>
        <v>48470216999.999985</v>
      </c>
      <c r="IG19" s="9"/>
    </row>
    <row r="20" spans="1:241" ht="21">
      <c r="A20" s="28" t="s">
        <v>135</v>
      </c>
      <c r="B20" s="29" t="s">
        <v>136</v>
      </c>
      <c r="C20" s="30">
        <v>136253400000</v>
      </c>
      <c r="D20" s="30">
        <v>136253400000</v>
      </c>
      <c r="E20" s="25">
        <f>+'Pro-Pdpt'!M19</f>
        <v>136253400000</v>
      </c>
      <c r="F20" s="25">
        <f>+'Pro-Pdpt'!N19</f>
        <v>136253400000</v>
      </c>
      <c r="G20" s="25">
        <f>+'Pro-Pdpt'!O19</f>
        <v>136253400000</v>
      </c>
      <c r="H20" s="25">
        <f>+'Pro-Pdpt'!P19</f>
        <v>136253400000</v>
      </c>
      <c r="IG20" s="9"/>
    </row>
    <row r="21" spans="1:241" ht="21">
      <c r="A21" s="33" t="s">
        <v>137</v>
      </c>
      <c r="B21" s="34" t="s">
        <v>138</v>
      </c>
      <c r="C21" s="35">
        <v>28310561000</v>
      </c>
      <c r="D21" s="35">
        <v>39741100000</v>
      </c>
      <c r="E21" s="25">
        <f>+'Pro-Pdpt'!M20</f>
        <v>42500000000</v>
      </c>
      <c r="F21" s="25">
        <f>+'Pro-Pdpt'!N20</f>
        <v>42500000000</v>
      </c>
      <c r="G21" s="25">
        <f>+'Pro-Pdpt'!O20</f>
        <v>42500000000</v>
      </c>
      <c r="H21" s="25">
        <f>+'Pro-Pdpt'!P20</f>
        <v>42500000000</v>
      </c>
      <c r="IG21" s="9"/>
    </row>
    <row r="22" spans="1:241" ht="15.75">
      <c r="A22" s="43"/>
      <c r="B22" s="44"/>
      <c r="E22" s="277"/>
      <c r="F22" s="13"/>
      <c r="IG22" s="9"/>
    </row>
    <row r="23" spans="1:241" s="295" customFormat="1" ht="11.25">
      <c r="A23" s="300" t="s">
        <v>106</v>
      </c>
      <c r="B23" s="18" t="s">
        <v>142</v>
      </c>
      <c r="C23" s="299">
        <v>2013</v>
      </c>
      <c r="D23" s="299">
        <v>2014</v>
      </c>
      <c r="E23" s="299">
        <v>2015</v>
      </c>
      <c r="F23" s="299">
        <v>2016</v>
      </c>
      <c r="G23" s="299">
        <v>2017</v>
      </c>
      <c r="H23" s="299">
        <v>2018</v>
      </c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9"/>
      <c r="EP23" s="299"/>
      <c r="EQ23" s="299"/>
      <c r="ER23" s="299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9"/>
      <c r="FF23" s="299"/>
      <c r="FG23" s="299"/>
      <c r="FH23" s="299"/>
      <c r="FI23" s="299"/>
      <c r="FJ23" s="299"/>
      <c r="FK23" s="299"/>
      <c r="FL23" s="299"/>
      <c r="FM23" s="299"/>
      <c r="FN23" s="299"/>
      <c r="FO23" s="299"/>
      <c r="FP23" s="299"/>
      <c r="FQ23" s="299"/>
      <c r="FR23" s="299"/>
      <c r="FS23" s="299"/>
      <c r="FT23" s="299"/>
      <c r="FU23" s="299"/>
      <c r="FV23" s="299"/>
      <c r="FW23" s="299"/>
      <c r="FX23" s="299"/>
      <c r="FY23" s="299"/>
      <c r="FZ23" s="299"/>
      <c r="GA23" s="299"/>
      <c r="GB23" s="299"/>
      <c r="GC23" s="299"/>
      <c r="GD23" s="299"/>
      <c r="GE23" s="299"/>
      <c r="GF23" s="299"/>
      <c r="GG23" s="299"/>
      <c r="GH23" s="299"/>
      <c r="GI23" s="299"/>
      <c r="GJ23" s="299"/>
      <c r="GK23" s="299"/>
      <c r="GL23" s="299"/>
      <c r="GM23" s="299"/>
      <c r="GN23" s="299"/>
      <c r="GO23" s="299"/>
      <c r="GP23" s="299"/>
      <c r="GQ23" s="299"/>
      <c r="GR23" s="299"/>
      <c r="GS23" s="299"/>
      <c r="GT23" s="299"/>
      <c r="GU23" s="299"/>
      <c r="GV23" s="299"/>
      <c r="GW23" s="299"/>
      <c r="GX23" s="299"/>
      <c r="GY23" s="299"/>
      <c r="GZ23" s="299"/>
      <c r="HA23" s="299"/>
      <c r="HB23" s="299"/>
      <c r="HC23" s="299"/>
      <c r="HD23" s="299"/>
      <c r="HE23" s="299"/>
      <c r="HF23" s="299"/>
      <c r="HG23" s="299"/>
      <c r="HH23" s="299"/>
      <c r="HI23" s="299"/>
      <c r="HJ23" s="299"/>
      <c r="HK23" s="299"/>
      <c r="HL23" s="299"/>
      <c r="HM23" s="299"/>
      <c r="HN23" s="299"/>
      <c r="HO23" s="299"/>
      <c r="HP23" s="299"/>
      <c r="HQ23" s="299"/>
      <c r="HR23" s="299"/>
      <c r="HS23" s="299"/>
      <c r="HT23" s="299"/>
      <c r="HU23" s="299"/>
      <c r="HV23" s="299"/>
      <c r="HW23" s="299"/>
      <c r="HX23" s="299"/>
      <c r="HY23" s="299"/>
      <c r="HZ23" s="299"/>
      <c r="IA23" s="299"/>
      <c r="IB23" s="299"/>
      <c r="IC23" s="299"/>
      <c r="ID23" s="299"/>
      <c r="IE23" s="299"/>
      <c r="IF23" s="299"/>
    </row>
    <row r="24" spans="1:241" s="295" customFormat="1" ht="11.25">
      <c r="A24" s="19" t="s">
        <v>143</v>
      </c>
      <c r="B24" s="20" t="s">
        <v>144</v>
      </c>
      <c r="C24" s="21">
        <f t="shared" ref="C24:H24" si="5">+C25+C33</f>
        <v>1175501480163</v>
      </c>
      <c r="D24" s="21">
        <f t="shared" si="5"/>
        <v>1233002583300</v>
      </c>
      <c r="E24" s="21">
        <f t="shared" si="5"/>
        <v>1265507531000.3335</v>
      </c>
      <c r="F24" s="21">
        <f t="shared" si="5"/>
        <v>1308492595000</v>
      </c>
      <c r="G24" s="21">
        <f t="shared" si="5"/>
        <v>1374102906000.375</v>
      </c>
      <c r="H24" s="21">
        <f t="shared" si="5"/>
        <v>1478813082250.2969</v>
      </c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</row>
    <row r="25" spans="1:241" s="295" customFormat="1" ht="11.25">
      <c r="A25" s="19" t="s">
        <v>145</v>
      </c>
      <c r="B25" s="20" t="s">
        <v>0</v>
      </c>
      <c r="C25" s="21">
        <f t="shared" ref="C25:E25" si="6">SUM(C26:C32)</f>
        <v>745483287805</v>
      </c>
      <c r="D25" s="21">
        <f t="shared" si="6"/>
        <v>761640575446</v>
      </c>
      <c r="E25" s="21">
        <f t="shared" si="6"/>
        <v>837373293000.33337</v>
      </c>
      <c r="F25" s="21">
        <f>SUM(F26:F32)</f>
        <v>879418559000</v>
      </c>
      <c r="G25" s="21">
        <f t="shared" ref="G25:H25" si="7">SUM(G26:G32)</f>
        <v>928668209000.375</v>
      </c>
      <c r="H25" s="21">
        <f t="shared" si="7"/>
        <v>1001309326250.2969</v>
      </c>
      <c r="I25" s="316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</row>
    <row r="26" spans="1:241" s="295" customFormat="1" ht="11.25">
      <c r="A26" s="23" t="s">
        <v>146</v>
      </c>
      <c r="B26" s="24" t="s">
        <v>5</v>
      </c>
      <c r="C26" s="305">
        <f>+'[1]Pro-Blj'!H7</f>
        <v>597730844785</v>
      </c>
      <c r="D26" s="305">
        <f>+'[1]Pro-Blj'!I7</f>
        <v>633897936446</v>
      </c>
      <c r="E26" s="305">
        <f>+'[1]BELANJA WAJIB'!E13-606080000</f>
        <v>695879820000</v>
      </c>
      <c r="F26" s="305">
        <f>+'[1]BELANJA WAJIB'!F13-869674000</f>
        <v>738493920000</v>
      </c>
      <c r="G26" s="305">
        <f>+'[1]BELANJA WAJIB'!G13-748877000</f>
        <v>785021570000.375</v>
      </c>
      <c r="H26" s="305">
        <f>+'[1]BELANJA WAJIB'!H13-825933750</f>
        <v>836690687250.29687</v>
      </c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299"/>
      <c r="ER26" s="299"/>
      <c r="ES26" s="299"/>
      <c r="ET26" s="299"/>
      <c r="EU26" s="299"/>
      <c r="EV26" s="299"/>
      <c r="EW26" s="299"/>
      <c r="EX26" s="299"/>
      <c r="EY26" s="299"/>
      <c r="EZ26" s="299"/>
      <c r="FA26" s="299"/>
      <c r="FB26" s="299"/>
      <c r="FC26" s="299"/>
      <c r="FD26" s="299"/>
      <c r="FE26" s="299"/>
      <c r="FF26" s="299"/>
      <c r="FG26" s="299"/>
      <c r="FH26" s="299"/>
      <c r="FI26" s="299"/>
      <c r="FJ26" s="299"/>
      <c r="FK26" s="299"/>
      <c r="FL26" s="299"/>
      <c r="FM26" s="299"/>
      <c r="FN26" s="299"/>
      <c r="FO26" s="299"/>
      <c r="FP26" s="299"/>
      <c r="FQ26" s="299"/>
      <c r="FR26" s="299"/>
      <c r="FS26" s="299"/>
      <c r="FT26" s="299"/>
      <c r="FU26" s="299"/>
      <c r="FV26" s="299"/>
      <c r="FW26" s="299"/>
      <c r="FX26" s="299"/>
      <c r="FY26" s="299"/>
      <c r="FZ26" s="299"/>
      <c r="GA26" s="299"/>
      <c r="GB26" s="299"/>
      <c r="GC26" s="299"/>
      <c r="GD26" s="299"/>
      <c r="GE26" s="299"/>
      <c r="GF26" s="299"/>
      <c r="GG26" s="299"/>
      <c r="GH26" s="299"/>
      <c r="GI26" s="299"/>
      <c r="GJ26" s="299"/>
      <c r="GK26" s="299"/>
      <c r="GL26" s="299"/>
      <c r="GM26" s="299"/>
      <c r="GN26" s="299"/>
      <c r="GO26" s="299"/>
      <c r="GP26" s="299"/>
      <c r="GQ26" s="299"/>
      <c r="GR26" s="299"/>
      <c r="GS26" s="299"/>
      <c r="GT26" s="299"/>
      <c r="GU26" s="299"/>
      <c r="GV26" s="299"/>
      <c r="GW26" s="299"/>
      <c r="GX26" s="299"/>
      <c r="GY26" s="299"/>
      <c r="GZ26" s="299"/>
      <c r="HA26" s="299"/>
      <c r="HB26" s="299"/>
      <c r="HC26" s="299"/>
      <c r="HD26" s="299"/>
      <c r="HE26" s="299"/>
      <c r="HF26" s="299"/>
      <c r="HG26" s="299"/>
      <c r="HH26" s="299"/>
      <c r="HI26" s="299"/>
      <c r="HJ26" s="299"/>
      <c r="HK26" s="299"/>
      <c r="HL26" s="299"/>
      <c r="HM26" s="299"/>
      <c r="HN26" s="299"/>
      <c r="HO26" s="299"/>
      <c r="HP26" s="299"/>
      <c r="HQ26" s="299"/>
      <c r="HR26" s="299"/>
      <c r="HS26" s="299"/>
      <c r="HT26" s="299"/>
      <c r="HU26" s="299"/>
      <c r="HV26" s="299"/>
      <c r="HW26" s="299"/>
      <c r="HX26" s="299"/>
      <c r="HY26" s="299"/>
      <c r="HZ26" s="299"/>
      <c r="IA26" s="299"/>
      <c r="IB26" s="299"/>
      <c r="IC26" s="299"/>
      <c r="ID26" s="299"/>
      <c r="IE26" s="299"/>
      <c r="IF26" s="299"/>
    </row>
    <row r="27" spans="1:241" s="295" customFormat="1" ht="11.25">
      <c r="A27" s="28" t="s">
        <v>147</v>
      </c>
      <c r="B27" s="29" t="s">
        <v>6</v>
      </c>
      <c r="C27" s="305">
        <f>+'[1]Pro-Blj'!H8</f>
        <v>1448750000</v>
      </c>
      <c r="D27" s="305">
        <f>+'[1]Pro-Blj'!I8</f>
        <v>2000000000</v>
      </c>
      <c r="E27" s="305">
        <f>+F118*1000000+667</f>
        <v>5304834000.3333359</v>
      </c>
      <c r="F27" s="305">
        <f>+F119*1000000</f>
        <v>4536000000</v>
      </c>
      <c r="G27" s="317">
        <f>+F120*1000000</f>
        <v>2808000000</v>
      </c>
      <c r="H27" s="317">
        <f>+F121*1000000</f>
        <v>1080000000</v>
      </c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299"/>
      <c r="EN27" s="299"/>
      <c r="EO27" s="299"/>
      <c r="EP27" s="299"/>
      <c r="EQ27" s="299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  <c r="FF27" s="299"/>
      <c r="FG27" s="299"/>
      <c r="FH27" s="299"/>
      <c r="FI27" s="299"/>
      <c r="FJ27" s="299"/>
      <c r="FK27" s="299"/>
      <c r="FL27" s="299"/>
      <c r="FM27" s="299"/>
      <c r="FN27" s="299"/>
      <c r="FO27" s="299"/>
      <c r="FP27" s="299"/>
      <c r="FQ27" s="299"/>
      <c r="FR27" s="299"/>
      <c r="FS27" s="299"/>
      <c r="FT27" s="299"/>
      <c r="FU27" s="299"/>
      <c r="FV27" s="299"/>
      <c r="FW27" s="299"/>
      <c r="FX27" s="299"/>
      <c r="FY27" s="299"/>
      <c r="FZ27" s="299"/>
      <c r="GA27" s="299"/>
      <c r="GB27" s="299"/>
      <c r="GC27" s="299"/>
      <c r="GD27" s="299"/>
      <c r="GE27" s="299"/>
      <c r="GF27" s="299"/>
      <c r="GG27" s="299"/>
      <c r="GH27" s="299"/>
      <c r="GI27" s="299"/>
      <c r="GJ27" s="299"/>
      <c r="GK27" s="299"/>
      <c r="GL27" s="299"/>
      <c r="GM27" s="299"/>
      <c r="GN27" s="299"/>
      <c r="GO27" s="299"/>
      <c r="GP27" s="299"/>
      <c r="GQ27" s="299"/>
      <c r="GR27" s="299"/>
      <c r="GS27" s="299"/>
      <c r="GT27" s="299"/>
      <c r="GU27" s="299"/>
      <c r="GV27" s="299"/>
      <c r="GW27" s="299"/>
      <c r="GX27" s="299"/>
      <c r="GY27" s="299"/>
      <c r="GZ27" s="299"/>
      <c r="HA27" s="299"/>
      <c r="HB27" s="299"/>
      <c r="HC27" s="299"/>
      <c r="HD27" s="299"/>
      <c r="HE27" s="299"/>
      <c r="HF27" s="299"/>
      <c r="HG27" s="299"/>
      <c r="HH27" s="299"/>
      <c r="HI27" s="299"/>
      <c r="HJ27" s="299"/>
      <c r="HK27" s="299"/>
      <c r="HL27" s="299"/>
      <c r="HM27" s="299"/>
      <c r="HN27" s="299"/>
      <c r="HO27" s="299"/>
      <c r="HP27" s="299"/>
      <c r="HQ27" s="299"/>
      <c r="HR27" s="299"/>
      <c r="HS27" s="299"/>
      <c r="HT27" s="299"/>
      <c r="HU27" s="299"/>
      <c r="HV27" s="299"/>
      <c r="HW27" s="299"/>
      <c r="HX27" s="299"/>
      <c r="HY27" s="299"/>
      <c r="HZ27" s="299"/>
      <c r="IA27" s="299"/>
      <c r="IB27" s="299"/>
      <c r="IC27" s="299"/>
      <c r="ID27" s="299"/>
      <c r="IE27" s="299"/>
      <c r="IF27" s="299"/>
    </row>
    <row r="28" spans="1:241" s="326" customFormat="1" ht="11.25">
      <c r="A28" s="318" t="s">
        <v>148</v>
      </c>
      <c r="B28" s="319" t="s">
        <v>149</v>
      </c>
      <c r="C28" s="323">
        <f>+'[1]Pro-Blj'!H9</f>
        <v>62801569520</v>
      </c>
      <c r="D28" s="323">
        <f>+'[1]Pro-Blj'!I9+12000000000</f>
        <v>54790840000</v>
      </c>
      <c r="E28" s="323">
        <f>D28</f>
        <v>54790840000</v>
      </c>
      <c r="F28" s="323">
        <f>+E28</f>
        <v>54790840000</v>
      </c>
      <c r="G28" s="324">
        <f>+F28+2000000000</f>
        <v>56790840000</v>
      </c>
      <c r="H28" s="324">
        <f>+G28+20000000000+500000000</f>
        <v>77290840000</v>
      </c>
      <c r="I28" s="324">
        <f>H28</f>
        <v>77290840000</v>
      </c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5"/>
      <c r="FU28" s="325"/>
      <c r="FV28" s="325"/>
      <c r="FW28" s="325"/>
      <c r="FX28" s="325"/>
      <c r="FY28" s="325"/>
      <c r="FZ28" s="325"/>
      <c r="GA28" s="325"/>
      <c r="GB28" s="325"/>
      <c r="GC28" s="325"/>
      <c r="GD28" s="325"/>
      <c r="GE28" s="325"/>
      <c r="GF28" s="325"/>
      <c r="GG28" s="325"/>
      <c r="GH28" s="325"/>
      <c r="GI28" s="325"/>
      <c r="GJ28" s="325"/>
      <c r="GK28" s="325"/>
      <c r="GL28" s="325"/>
      <c r="GM28" s="325"/>
      <c r="GN28" s="325"/>
      <c r="GO28" s="325"/>
      <c r="GP28" s="325"/>
      <c r="GQ28" s="325"/>
      <c r="GR28" s="325"/>
      <c r="GS28" s="325"/>
      <c r="GT28" s="325"/>
      <c r="GU28" s="325"/>
      <c r="GV28" s="325"/>
      <c r="GW28" s="325"/>
      <c r="GX28" s="325"/>
      <c r="GY28" s="325"/>
      <c r="GZ28" s="325"/>
      <c r="HA28" s="325"/>
      <c r="HB28" s="325"/>
      <c r="HC28" s="325"/>
      <c r="HD28" s="325"/>
      <c r="HE28" s="325"/>
      <c r="HF28" s="325"/>
      <c r="HG28" s="325"/>
      <c r="HH28" s="325"/>
      <c r="HI28" s="325"/>
      <c r="HJ28" s="325"/>
      <c r="HK28" s="325"/>
      <c r="HL28" s="325"/>
      <c r="HM28" s="325"/>
      <c r="HN28" s="325"/>
      <c r="HO28" s="325"/>
      <c r="HP28" s="325"/>
      <c r="HQ28" s="325"/>
      <c r="HR28" s="325"/>
      <c r="HS28" s="325"/>
      <c r="HT28" s="325"/>
      <c r="HU28" s="325"/>
      <c r="HV28" s="325"/>
      <c r="HW28" s="325"/>
      <c r="HX28" s="325"/>
      <c r="HY28" s="325"/>
      <c r="HZ28" s="325"/>
      <c r="IA28" s="325"/>
      <c r="IB28" s="325"/>
      <c r="IC28" s="325"/>
      <c r="ID28" s="325"/>
      <c r="IE28" s="325"/>
      <c r="IF28" s="325"/>
    </row>
    <row r="29" spans="1:241" s="326" customFormat="1" ht="11.25">
      <c r="A29" s="318" t="s">
        <v>150</v>
      </c>
      <c r="B29" s="319" t="s">
        <v>151</v>
      </c>
      <c r="C29" s="323">
        <f>+'[1]Pro-Blj'!H10</f>
        <v>30470227000</v>
      </c>
      <c r="D29" s="323">
        <f>+'[1]Pro-Blj'!I10</f>
        <v>24342680000</v>
      </c>
      <c r="E29" s="323">
        <f>+D29+8000000000+2000000000</f>
        <v>34342680000</v>
      </c>
      <c r="F29" s="323">
        <f>+E29</f>
        <v>34342680000</v>
      </c>
      <c r="G29" s="323">
        <f>+F29+2000000000</f>
        <v>36342680000</v>
      </c>
      <c r="H29" s="323">
        <f>+G29+2000000000</f>
        <v>38342680000</v>
      </c>
      <c r="I29" s="324">
        <f>H29</f>
        <v>38342680000</v>
      </c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5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5"/>
      <c r="FN29" s="325"/>
      <c r="FO29" s="325"/>
      <c r="FP29" s="325"/>
      <c r="FQ29" s="325"/>
      <c r="FR29" s="325"/>
      <c r="FS29" s="325"/>
      <c r="FT29" s="325"/>
      <c r="FU29" s="325"/>
      <c r="FV29" s="325"/>
      <c r="FW29" s="325"/>
      <c r="FX29" s="325"/>
      <c r="FY29" s="325"/>
      <c r="FZ29" s="325"/>
      <c r="GA29" s="325"/>
      <c r="GB29" s="325"/>
      <c r="GC29" s="325"/>
      <c r="GD29" s="325"/>
      <c r="GE29" s="325"/>
      <c r="GF29" s="325"/>
      <c r="GG29" s="325"/>
      <c r="GH29" s="325"/>
      <c r="GI29" s="325"/>
      <c r="GJ29" s="325"/>
      <c r="GK29" s="325"/>
      <c r="GL29" s="325"/>
      <c r="GM29" s="325"/>
      <c r="GN29" s="325"/>
      <c r="GO29" s="325"/>
      <c r="GP29" s="325"/>
      <c r="GQ29" s="325"/>
      <c r="GR29" s="325"/>
      <c r="GS29" s="325"/>
      <c r="GT29" s="325"/>
      <c r="GU29" s="325"/>
      <c r="GV29" s="325"/>
      <c r="GW29" s="325"/>
      <c r="GX29" s="325"/>
      <c r="GY29" s="325"/>
      <c r="GZ29" s="325"/>
      <c r="HA29" s="325"/>
      <c r="HB29" s="325"/>
      <c r="HC29" s="325"/>
      <c r="HD29" s="325"/>
      <c r="HE29" s="325"/>
      <c r="HF29" s="325"/>
      <c r="HG29" s="325"/>
      <c r="HH29" s="325"/>
      <c r="HI29" s="325"/>
      <c r="HJ29" s="325"/>
      <c r="HK29" s="325"/>
      <c r="HL29" s="325"/>
      <c r="HM29" s="325"/>
      <c r="HN29" s="325"/>
      <c r="HO29" s="325"/>
      <c r="HP29" s="325"/>
      <c r="HQ29" s="325"/>
      <c r="HR29" s="325"/>
      <c r="HS29" s="325"/>
      <c r="HT29" s="325"/>
      <c r="HU29" s="325"/>
      <c r="HV29" s="325"/>
      <c r="HW29" s="325"/>
      <c r="HX29" s="325"/>
      <c r="HY29" s="325"/>
      <c r="HZ29" s="325"/>
      <c r="IA29" s="325"/>
      <c r="IB29" s="325"/>
      <c r="IC29" s="325"/>
      <c r="ID29" s="325"/>
      <c r="IE29" s="325"/>
      <c r="IF29" s="325"/>
    </row>
    <row r="30" spans="1:241" s="295" customFormat="1" ht="21">
      <c r="A30" s="28" t="s">
        <v>152</v>
      </c>
      <c r="B30" s="29" t="s">
        <v>153</v>
      </c>
      <c r="C30" s="305">
        <f>+'[1]Pro-Blj'!H11</f>
        <v>4329000000</v>
      </c>
      <c r="D30" s="305">
        <f>+'[1]Pro-Blj'!I11</f>
        <v>4504000000</v>
      </c>
      <c r="E30" s="305">
        <v>4700000000</v>
      </c>
      <c r="F30" s="305">
        <v>4900000000</v>
      </c>
      <c r="G30" s="305">
        <v>5100000000</v>
      </c>
      <c r="H30" s="305">
        <v>5300000000</v>
      </c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</row>
    <row r="31" spans="1:241" s="326" customFormat="1" ht="21">
      <c r="A31" s="318" t="s">
        <v>154</v>
      </c>
      <c r="B31" s="319" t="s">
        <v>155</v>
      </c>
      <c r="C31" s="323">
        <f>+'[1]Pro-Blj'!H12</f>
        <v>47952896500</v>
      </c>
      <c r="D31" s="323">
        <f>+'[1]Pro-Blj'!I12</f>
        <v>41605119000</v>
      </c>
      <c r="E31" s="323">
        <f>+D31</f>
        <v>41605119000</v>
      </c>
      <c r="F31" s="323">
        <f>+E31</f>
        <v>41605119000</v>
      </c>
      <c r="G31" s="323">
        <f>+F31</f>
        <v>41605119000</v>
      </c>
      <c r="H31" s="323">
        <f>+G31</f>
        <v>41605119000</v>
      </c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5"/>
      <c r="EN31" s="325"/>
      <c r="EO31" s="325"/>
      <c r="EP31" s="325"/>
      <c r="EQ31" s="325"/>
      <c r="ER31" s="325"/>
      <c r="ES31" s="325"/>
      <c r="ET31" s="325"/>
      <c r="EU31" s="325"/>
      <c r="EV31" s="325"/>
      <c r="EW31" s="325"/>
      <c r="EX31" s="325"/>
      <c r="EY31" s="325"/>
      <c r="EZ31" s="325"/>
      <c r="FA31" s="325"/>
      <c r="FB31" s="325"/>
      <c r="FC31" s="325"/>
      <c r="FD31" s="325"/>
      <c r="FE31" s="325"/>
      <c r="FF31" s="325"/>
      <c r="FG31" s="325"/>
      <c r="FH31" s="325"/>
      <c r="FI31" s="325"/>
      <c r="FJ31" s="325"/>
      <c r="FK31" s="325"/>
      <c r="FL31" s="325"/>
      <c r="FM31" s="325"/>
      <c r="FN31" s="325"/>
      <c r="FO31" s="325"/>
      <c r="FP31" s="325"/>
      <c r="FQ31" s="325"/>
      <c r="FR31" s="325"/>
      <c r="FS31" s="325"/>
      <c r="FT31" s="325"/>
      <c r="FU31" s="325"/>
      <c r="FV31" s="325"/>
      <c r="FW31" s="325"/>
      <c r="FX31" s="325"/>
      <c r="FY31" s="325"/>
      <c r="FZ31" s="325"/>
      <c r="GA31" s="325"/>
      <c r="GB31" s="325"/>
      <c r="GC31" s="325"/>
      <c r="GD31" s="325"/>
      <c r="GE31" s="325"/>
      <c r="GF31" s="325"/>
      <c r="GG31" s="325"/>
      <c r="GH31" s="325"/>
      <c r="GI31" s="325"/>
      <c r="GJ31" s="325"/>
      <c r="GK31" s="325"/>
      <c r="GL31" s="325"/>
      <c r="GM31" s="325"/>
      <c r="GN31" s="325"/>
      <c r="GO31" s="325"/>
      <c r="GP31" s="325"/>
      <c r="GQ31" s="325"/>
      <c r="GR31" s="325"/>
      <c r="GS31" s="325"/>
      <c r="GT31" s="325"/>
      <c r="GU31" s="325"/>
      <c r="GV31" s="325"/>
      <c r="GW31" s="325"/>
      <c r="GX31" s="325"/>
      <c r="GY31" s="325"/>
      <c r="GZ31" s="325"/>
      <c r="HA31" s="325"/>
      <c r="HB31" s="325"/>
      <c r="HC31" s="325"/>
      <c r="HD31" s="325"/>
      <c r="HE31" s="325"/>
      <c r="HF31" s="325"/>
      <c r="HG31" s="325"/>
      <c r="HH31" s="325"/>
      <c r="HI31" s="325"/>
      <c r="HJ31" s="325"/>
      <c r="HK31" s="325"/>
      <c r="HL31" s="325"/>
      <c r="HM31" s="325"/>
      <c r="HN31" s="325"/>
      <c r="HO31" s="325"/>
      <c r="HP31" s="325"/>
      <c r="HQ31" s="325"/>
      <c r="HR31" s="325"/>
      <c r="HS31" s="325"/>
      <c r="HT31" s="325"/>
      <c r="HU31" s="325"/>
      <c r="HV31" s="325"/>
      <c r="HW31" s="325"/>
      <c r="HX31" s="325"/>
      <c r="HY31" s="325"/>
      <c r="HZ31" s="325"/>
      <c r="IA31" s="325"/>
      <c r="IB31" s="325"/>
      <c r="IC31" s="325"/>
      <c r="ID31" s="325"/>
      <c r="IE31" s="325"/>
      <c r="IF31" s="325"/>
    </row>
    <row r="32" spans="1:241" s="295" customFormat="1" ht="11.25">
      <c r="A32" s="33" t="s">
        <v>156</v>
      </c>
      <c r="B32" s="34" t="s">
        <v>157</v>
      </c>
      <c r="C32" s="305">
        <f>+'[1]Pro-Blj'!H13</f>
        <v>750000000</v>
      </c>
      <c r="D32" s="305">
        <f>+'[1]Pro-Blj'!I13</f>
        <v>500000000</v>
      </c>
      <c r="E32" s="305">
        <v>750000000</v>
      </c>
      <c r="F32" s="305">
        <v>750000000</v>
      </c>
      <c r="G32" s="305">
        <v>1000000000</v>
      </c>
      <c r="H32" s="305">
        <v>1000000000</v>
      </c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</row>
    <row r="33" spans="1:240" s="295" customFormat="1" ht="11.25">
      <c r="A33" s="19" t="s">
        <v>158</v>
      </c>
      <c r="B33" s="20" t="s">
        <v>1</v>
      </c>
      <c r="C33" s="38">
        <f t="shared" ref="C33" si="8">SUM(C35:C37)</f>
        <v>430018192358</v>
      </c>
      <c r="D33" s="38">
        <f>SUM(D35:D37)+39693921000</f>
        <v>471362007854</v>
      </c>
      <c r="E33" s="38">
        <f>SUM(E35:E37)</f>
        <v>428134238000</v>
      </c>
      <c r="F33" s="38">
        <f>SUM(F35:F37)</f>
        <v>429074036000</v>
      </c>
      <c r="G33" s="38">
        <f>SUM(G35:G37)</f>
        <v>445434697000</v>
      </c>
      <c r="H33" s="38">
        <f>SUM(H35:H37)</f>
        <v>477503756000</v>
      </c>
      <c r="I33" s="327"/>
      <c r="J33" s="328"/>
      <c r="K33" s="329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</row>
    <row r="34" spans="1:240" s="295" customFormat="1" ht="11.25">
      <c r="A34" s="330"/>
      <c r="B34" s="331"/>
      <c r="C34" s="335"/>
      <c r="D34" s="335"/>
      <c r="E34" s="335"/>
      <c r="F34" s="335"/>
      <c r="G34" s="335"/>
      <c r="H34" s="335"/>
      <c r="I34" s="329"/>
      <c r="J34" s="328"/>
      <c r="K34" s="329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</row>
    <row r="35" spans="1:240" s="295" customFormat="1" ht="11.25">
      <c r="A35" s="23" t="s">
        <v>159</v>
      </c>
      <c r="B35" s="24" t="s">
        <v>5</v>
      </c>
      <c r="C35" s="305">
        <f>+'[1]Pro-Blj'!H15</f>
        <v>39541189025</v>
      </c>
      <c r="D35" s="305">
        <v>40077982205</v>
      </c>
      <c r="E35" s="305">
        <v>30000000000</v>
      </c>
      <c r="F35" s="305">
        <f>+E35</f>
        <v>30000000000</v>
      </c>
      <c r="G35" s="317">
        <f>+F35</f>
        <v>30000000000</v>
      </c>
      <c r="H35" s="317">
        <f>+G35</f>
        <v>30000000000</v>
      </c>
      <c r="I35" s="336">
        <f>H35/H$33*100</f>
        <v>6.2826730937798114</v>
      </c>
      <c r="J35" s="328"/>
      <c r="K35" s="336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</row>
    <row r="36" spans="1:240" s="295" customFormat="1" ht="11.25">
      <c r="A36" s="28" t="s">
        <v>160</v>
      </c>
      <c r="B36" s="29" t="s">
        <v>161</v>
      </c>
      <c r="C36" s="305">
        <f>+'[1]Pro-Blj'!H16</f>
        <v>162157140735</v>
      </c>
      <c r="D36" s="305">
        <v>163896077099</v>
      </c>
      <c r="E36" s="305">
        <f>165000000000-365762000</f>
        <v>164634238000</v>
      </c>
      <c r="F36" s="305">
        <v>165000000000</v>
      </c>
      <c r="G36" s="305">
        <v>167000000000</v>
      </c>
      <c r="H36" s="305">
        <v>170000000000</v>
      </c>
      <c r="I36" s="336">
        <f t="shared" ref="I36:I37" si="9">H36/H$33*100</f>
        <v>35.601814198085599</v>
      </c>
      <c r="J36" s="328"/>
      <c r="K36" s="336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</row>
    <row r="37" spans="1:240" s="295" customFormat="1" ht="11.25">
      <c r="A37" s="33" t="s">
        <v>162</v>
      </c>
      <c r="B37" s="34" t="s">
        <v>163</v>
      </c>
      <c r="C37" s="305">
        <f>+'[1]Pro-Blj'!H17</f>
        <v>228319862598</v>
      </c>
      <c r="D37" s="305">
        <f>+'[1]Pro-Blj'!I17</f>
        <v>227694027550</v>
      </c>
      <c r="E37" s="305">
        <f>275000000000-13500000000-28000000000</f>
        <v>233500000000</v>
      </c>
      <c r="F37" s="305">
        <f>250000000000-15925964000</f>
        <v>234074036000</v>
      </c>
      <c r="G37" s="305">
        <f>270000000000-21565303000</f>
        <v>248434697000</v>
      </c>
      <c r="H37" s="305">
        <f>290000000000-12496244000</f>
        <v>277503756000</v>
      </c>
      <c r="I37" s="336">
        <f t="shared" si="9"/>
        <v>58.115512708134595</v>
      </c>
      <c r="J37" s="328"/>
      <c r="K37" s="336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299"/>
      <c r="GM37" s="299"/>
      <c r="GN37" s="299"/>
      <c r="GO37" s="299"/>
      <c r="GP37" s="299"/>
      <c r="GQ37" s="299"/>
      <c r="GR37" s="299"/>
      <c r="GS37" s="299"/>
      <c r="GT37" s="299"/>
      <c r="GU37" s="299"/>
      <c r="GV37" s="299"/>
      <c r="GW37" s="299"/>
      <c r="GX37" s="299"/>
      <c r="GY37" s="299"/>
      <c r="GZ37" s="299"/>
      <c r="HA37" s="299"/>
      <c r="HB37" s="299"/>
      <c r="HC37" s="299"/>
      <c r="HD37" s="299"/>
      <c r="HE37" s="299"/>
      <c r="HF37" s="299"/>
      <c r="HG37" s="299"/>
      <c r="HH37" s="299"/>
      <c r="HI37" s="299"/>
      <c r="HJ37" s="299"/>
      <c r="HK37" s="299"/>
      <c r="HL37" s="299"/>
      <c r="HM37" s="299"/>
      <c r="HN37" s="299"/>
      <c r="HO37" s="299"/>
      <c r="HP37" s="299"/>
      <c r="HQ37" s="299"/>
      <c r="HR37" s="299"/>
      <c r="HS37" s="299"/>
      <c r="HT37" s="299"/>
      <c r="HU37" s="299"/>
      <c r="HV37" s="299"/>
      <c r="HW37" s="299"/>
      <c r="HX37" s="299"/>
      <c r="HY37" s="299"/>
      <c r="HZ37" s="299"/>
      <c r="IA37" s="299"/>
      <c r="IB37" s="299"/>
      <c r="IC37" s="299"/>
      <c r="ID37" s="299"/>
      <c r="IE37" s="299"/>
      <c r="IF37" s="299"/>
    </row>
    <row r="38" spans="1:240" s="295" customFormat="1" ht="11.25">
      <c r="A38" s="308"/>
      <c r="B38" s="309"/>
      <c r="C38" s="299"/>
      <c r="D38" s="337" t="s">
        <v>8</v>
      </c>
      <c r="E38" s="305" t="s">
        <v>8</v>
      </c>
      <c r="F38" s="299"/>
      <c r="G38" s="299"/>
      <c r="H38" s="299" t="s">
        <v>8</v>
      </c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299"/>
      <c r="GM38" s="299"/>
      <c r="GN38" s="299"/>
      <c r="GO38" s="299"/>
      <c r="GP38" s="299"/>
      <c r="GQ38" s="299"/>
      <c r="GR38" s="299"/>
      <c r="GS38" s="299"/>
      <c r="GT38" s="299"/>
      <c r="GU38" s="299"/>
      <c r="GV38" s="299"/>
      <c r="GW38" s="299"/>
      <c r="GX38" s="299"/>
      <c r="GY38" s="299"/>
      <c r="GZ38" s="299"/>
      <c r="HA38" s="299"/>
      <c r="HB38" s="299"/>
      <c r="HC38" s="299"/>
      <c r="HD38" s="299"/>
      <c r="HE38" s="299"/>
      <c r="HF38" s="299"/>
      <c r="HG38" s="299"/>
      <c r="HH38" s="299"/>
      <c r="HI38" s="299"/>
      <c r="HJ38" s="299"/>
      <c r="HK38" s="299"/>
      <c r="HL38" s="299"/>
      <c r="HM38" s="299"/>
      <c r="HN38" s="299"/>
      <c r="HO38" s="299"/>
      <c r="HP38" s="299"/>
      <c r="HQ38" s="299"/>
      <c r="HR38" s="299"/>
      <c r="HS38" s="299"/>
      <c r="HT38" s="299"/>
      <c r="HU38" s="299"/>
      <c r="HV38" s="299"/>
      <c r="HW38" s="299"/>
      <c r="HX38" s="299"/>
      <c r="HY38" s="299"/>
      <c r="HZ38" s="299"/>
      <c r="IA38" s="299"/>
      <c r="IB38" s="299"/>
      <c r="IC38" s="299"/>
      <c r="ID38" s="299"/>
      <c r="IE38" s="299"/>
      <c r="IF38" s="299"/>
    </row>
    <row r="39" spans="1:240" s="295" customFormat="1" ht="11.25">
      <c r="A39" s="308"/>
      <c r="B39" s="309" t="s">
        <v>449</v>
      </c>
      <c r="C39" s="298">
        <f t="shared" ref="C39" si="10">+C6-C24</f>
        <v>-136329042163</v>
      </c>
      <c r="D39" s="298">
        <f>+D6-D24</f>
        <v>-99022418350</v>
      </c>
      <c r="E39" s="298">
        <f>+E6-E24+1</f>
        <v>-17499999999.7854</v>
      </c>
      <c r="F39" s="298">
        <f t="shared" ref="F39:H39" si="11">+F6-F24</f>
        <v>9500000000.4731445</v>
      </c>
      <c r="G39" s="298">
        <f t="shared" si="11"/>
        <v>9499999999.7202148</v>
      </c>
      <c r="H39" s="298">
        <f t="shared" si="11"/>
        <v>-13999999999.845215</v>
      </c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</row>
    <row r="40" spans="1:240" s="295" customFormat="1" ht="11.25">
      <c r="A40" s="308"/>
      <c r="B40" s="30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</row>
    <row r="41" spans="1:240" s="295" customFormat="1" ht="11.25">
      <c r="A41" s="300" t="s">
        <v>106</v>
      </c>
      <c r="B41" s="18" t="s">
        <v>142</v>
      </c>
      <c r="C41" s="299">
        <v>2013</v>
      </c>
      <c r="D41" s="299">
        <v>2014</v>
      </c>
      <c r="E41" s="299">
        <v>2015</v>
      </c>
      <c r="F41" s="299">
        <v>2016</v>
      </c>
      <c r="G41" s="299">
        <v>2017</v>
      </c>
      <c r="H41" s="299">
        <v>2018</v>
      </c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  <c r="FF41" s="299"/>
      <c r="FG41" s="299"/>
      <c r="FH41" s="299"/>
      <c r="FI41" s="299"/>
      <c r="FJ41" s="299"/>
      <c r="FK41" s="299"/>
      <c r="FL41" s="299"/>
      <c r="FM41" s="299"/>
      <c r="FN41" s="299"/>
      <c r="FO41" s="299"/>
      <c r="FP41" s="299"/>
      <c r="FQ41" s="299"/>
      <c r="FR41" s="299"/>
      <c r="FS41" s="299"/>
      <c r="FT41" s="299"/>
      <c r="FU41" s="299"/>
      <c r="FV41" s="299"/>
      <c r="FW41" s="299"/>
      <c r="FX41" s="299"/>
      <c r="FY41" s="299"/>
      <c r="FZ41" s="299"/>
      <c r="GA41" s="299"/>
      <c r="GB41" s="299"/>
      <c r="GC41" s="299"/>
      <c r="GD41" s="299"/>
      <c r="GE41" s="299"/>
      <c r="GF41" s="299"/>
      <c r="GG41" s="299"/>
      <c r="GH41" s="299"/>
      <c r="GI41" s="299"/>
      <c r="GJ41" s="299"/>
      <c r="GK41" s="299"/>
      <c r="GL41" s="299"/>
      <c r="GM41" s="299"/>
      <c r="GN41" s="299"/>
      <c r="GO41" s="299"/>
      <c r="GP41" s="299"/>
      <c r="GQ41" s="299"/>
      <c r="GR41" s="299"/>
      <c r="GS41" s="299"/>
      <c r="GT41" s="299"/>
      <c r="GU41" s="299"/>
      <c r="GV41" s="299"/>
      <c r="GW41" s="299"/>
      <c r="GX41" s="299"/>
      <c r="GY41" s="299"/>
      <c r="GZ41" s="299"/>
      <c r="HA41" s="299"/>
      <c r="HB41" s="299"/>
      <c r="HC41" s="299"/>
      <c r="HD41" s="299"/>
      <c r="HE41" s="299"/>
      <c r="HF41" s="299"/>
      <c r="HG41" s="299"/>
      <c r="HH41" s="299"/>
      <c r="HI41" s="299"/>
      <c r="HJ41" s="299"/>
      <c r="HK41" s="299"/>
      <c r="HL41" s="299"/>
      <c r="HM41" s="299"/>
      <c r="HN41" s="299"/>
      <c r="HO41" s="299"/>
      <c r="HP41" s="299"/>
      <c r="HQ41" s="299"/>
      <c r="HR41" s="299"/>
      <c r="HS41" s="299"/>
      <c r="HT41" s="299"/>
      <c r="HU41" s="299"/>
      <c r="HV41" s="299"/>
      <c r="HW41" s="299"/>
      <c r="HX41" s="299"/>
      <c r="HY41" s="299"/>
      <c r="HZ41" s="299"/>
      <c r="IA41" s="299"/>
      <c r="IB41" s="299"/>
      <c r="IC41" s="299"/>
      <c r="ID41" s="299"/>
      <c r="IE41" s="299"/>
      <c r="IF41" s="299"/>
    </row>
    <row r="42" spans="1:240" s="341" customFormat="1" ht="31.5" customHeight="1">
      <c r="A42" s="338" t="s">
        <v>450</v>
      </c>
      <c r="B42" s="339" t="s">
        <v>451</v>
      </c>
      <c r="C42" s="340" t="e">
        <f t="shared" ref="C42:H42" si="12">C43-C50</f>
        <v>#REF!</v>
      </c>
      <c r="D42" s="340">
        <f t="shared" si="12"/>
        <v>99022418350</v>
      </c>
      <c r="E42" s="340">
        <f t="shared" si="12"/>
        <v>17500000000</v>
      </c>
      <c r="F42" s="340">
        <f t="shared" si="12"/>
        <v>-9500000000</v>
      </c>
      <c r="G42" s="340">
        <f t="shared" si="12"/>
        <v>-9500000000</v>
      </c>
      <c r="H42" s="340">
        <f t="shared" si="12"/>
        <v>14000000000</v>
      </c>
    </row>
    <row r="43" spans="1:240" s="341" customFormat="1" ht="26.25" customHeight="1">
      <c r="A43" s="342" t="s">
        <v>452</v>
      </c>
      <c r="B43" s="343" t="s">
        <v>453</v>
      </c>
      <c r="C43" s="344" t="e">
        <f t="shared" ref="C43:H43" si="13">SUM(C44:C48)</f>
        <v>#REF!</v>
      </c>
      <c r="D43" s="344">
        <f t="shared" si="13"/>
        <v>107522418350</v>
      </c>
      <c r="E43" s="344">
        <f t="shared" si="13"/>
        <v>44500000000</v>
      </c>
      <c r="F43" s="344">
        <f t="shared" si="13"/>
        <v>31000000000</v>
      </c>
      <c r="G43" s="344">
        <f t="shared" si="13"/>
        <v>31000000000</v>
      </c>
      <c r="H43" s="344">
        <f t="shared" si="13"/>
        <v>47000000000</v>
      </c>
    </row>
    <row r="44" spans="1:240" s="349" customFormat="1" ht="36">
      <c r="A44" s="345" t="s">
        <v>454</v>
      </c>
      <c r="B44" s="346" t="s">
        <v>455</v>
      </c>
      <c r="C44" s="348" t="e">
        <f>+#REF!</f>
        <v>#REF!</v>
      </c>
      <c r="D44" s="348">
        <f>15022418350+12000000000</f>
        <v>27022418350</v>
      </c>
      <c r="E44" s="348">
        <v>27000000000</v>
      </c>
      <c r="F44" s="348">
        <v>27000000000</v>
      </c>
      <c r="G44" s="348">
        <v>27000000000</v>
      </c>
      <c r="H44" s="348">
        <v>27000000000</v>
      </c>
    </row>
    <row r="45" spans="1:240" s="349" customFormat="1" ht="13.5" customHeight="1">
      <c r="A45" s="350" t="s">
        <v>456</v>
      </c>
      <c r="B45" s="351" t="s">
        <v>457</v>
      </c>
      <c r="C45" s="348">
        <v>12960094515</v>
      </c>
      <c r="D45" s="348">
        <v>0</v>
      </c>
      <c r="E45" s="348"/>
      <c r="F45" s="348"/>
      <c r="G45" s="348">
        <v>0</v>
      </c>
      <c r="H45" s="348">
        <v>16000000000</v>
      </c>
    </row>
    <row r="46" spans="1:240" s="349" customFormat="1" ht="24">
      <c r="A46" s="350" t="s">
        <v>458</v>
      </c>
      <c r="B46" s="353" t="s">
        <v>459</v>
      </c>
      <c r="C46" s="348">
        <v>878651500</v>
      </c>
      <c r="D46" s="348">
        <v>4000000000</v>
      </c>
      <c r="E46" s="348">
        <v>4000000000</v>
      </c>
      <c r="F46" s="348">
        <v>4000000000</v>
      </c>
      <c r="G46" s="348">
        <v>4000000000</v>
      </c>
      <c r="H46" s="348">
        <v>4000000000</v>
      </c>
    </row>
    <row r="47" spans="1:240" s="349" customFormat="1" ht="24">
      <c r="A47" s="350" t="s">
        <v>460</v>
      </c>
      <c r="B47" s="351" t="s">
        <v>461</v>
      </c>
      <c r="C47" s="348">
        <v>90172435000</v>
      </c>
      <c r="D47" s="348">
        <v>76500000000</v>
      </c>
      <c r="E47" s="348">
        <v>13500000000</v>
      </c>
      <c r="F47" s="348">
        <v>0</v>
      </c>
      <c r="G47" s="348">
        <v>0</v>
      </c>
      <c r="H47" s="348">
        <v>0</v>
      </c>
      <c r="I47" s="354"/>
      <c r="J47" s="354"/>
    </row>
    <row r="48" spans="1:240" s="349" customFormat="1" ht="13.5" customHeight="1">
      <c r="A48" s="355" t="s">
        <v>462</v>
      </c>
      <c r="B48" s="356" t="s">
        <v>463</v>
      </c>
      <c r="C48" s="348"/>
      <c r="D48" s="348"/>
      <c r="E48" s="348"/>
      <c r="F48" s="348"/>
      <c r="G48" s="348"/>
      <c r="H48" s="348"/>
    </row>
    <row r="49" spans="1:8" s="349" customFormat="1" ht="3" customHeight="1">
      <c r="A49" s="358"/>
      <c r="B49" s="359"/>
      <c r="E49" s="348"/>
      <c r="F49" s="348"/>
      <c r="G49" s="348"/>
      <c r="H49" s="348"/>
    </row>
    <row r="50" spans="1:8" s="341" customFormat="1" ht="27" customHeight="1">
      <c r="A50" s="342" t="s">
        <v>464</v>
      </c>
      <c r="B50" s="343" t="s">
        <v>465</v>
      </c>
      <c r="C50" s="344">
        <f t="shared" ref="C50:H50" si="14">SUM(C51:C55)</f>
        <v>9458686107</v>
      </c>
      <c r="D50" s="344">
        <f t="shared" si="14"/>
        <v>8500000000</v>
      </c>
      <c r="E50" s="344">
        <f t="shared" si="14"/>
        <v>27000000000</v>
      </c>
      <c r="F50" s="344">
        <f t="shared" si="14"/>
        <v>40500000000</v>
      </c>
      <c r="G50" s="344">
        <f t="shared" si="14"/>
        <v>40500000000</v>
      </c>
      <c r="H50" s="344">
        <f t="shared" si="14"/>
        <v>33000000000</v>
      </c>
    </row>
    <row r="51" spans="1:8" s="349" customFormat="1" ht="13.5" customHeight="1">
      <c r="A51" s="345" t="s">
        <v>466</v>
      </c>
      <c r="B51" s="346" t="s">
        <v>3</v>
      </c>
      <c r="C51" s="348">
        <v>0</v>
      </c>
      <c r="D51" s="348"/>
      <c r="E51" s="348"/>
      <c r="F51" s="348">
        <v>7500000000</v>
      </c>
      <c r="G51" s="348">
        <v>7500000000</v>
      </c>
      <c r="H51" s="348">
        <v>0</v>
      </c>
    </row>
    <row r="52" spans="1:8" s="349" customFormat="1" ht="24">
      <c r="A52" s="350" t="s">
        <v>467</v>
      </c>
      <c r="B52" s="353" t="s">
        <v>468</v>
      </c>
      <c r="C52" s="348">
        <v>4533609000</v>
      </c>
      <c r="D52" s="348">
        <v>4500000000</v>
      </c>
      <c r="E52" s="348">
        <v>5000000000</v>
      </c>
      <c r="F52" s="348">
        <v>5000000000</v>
      </c>
      <c r="G52" s="348">
        <v>5000000000</v>
      </c>
      <c r="H52" s="348">
        <v>5000000000</v>
      </c>
    </row>
    <row r="53" spans="1:8" s="349" customFormat="1" ht="13.5" customHeight="1">
      <c r="A53" s="365" t="s">
        <v>469</v>
      </c>
      <c r="B53" s="366" t="s">
        <v>470</v>
      </c>
      <c r="C53" s="348"/>
      <c r="D53" s="348"/>
      <c r="E53" s="348">
        <f>+G118*1000000</f>
        <v>18000000000</v>
      </c>
      <c r="F53" s="348">
        <f>+G119*1000000</f>
        <v>24000000000</v>
      </c>
      <c r="G53" s="348">
        <f>+G120*1000000</f>
        <v>24000000000</v>
      </c>
      <c r="H53" s="348">
        <f>+G121*1000000</f>
        <v>24000000000</v>
      </c>
    </row>
    <row r="54" spans="1:8" s="349" customFormat="1" ht="13.5" customHeight="1">
      <c r="A54" s="350" t="s">
        <v>471</v>
      </c>
      <c r="B54" s="366" t="s">
        <v>472</v>
      </c>
      <c r="C54" s="348"/>
      <c r="D54" s="348"/>
      <c r="E54" s="348"/>
      <c r="F54" s="348"/>
      <c r="G54" s="348"/>
      <c r="H54" s="348"/>
    </row>
    <row r="55" spans="1:8" s="349" customFormat="1" ht="13.5" customHeight="1">
      <c r="A55" s="365" t="s">
        <v>473</v>
      </c>
      <c r="B55" s="366" t="s">
        <v>474</v>
      </c>
      <c r="C55" s="348">
        <v>4925077107</v>
      </c>
      <c r="D55" s="348">
        <v>4000000000</v>
      </c>
      <c r="E55" s="348">
        <v>4000000000</v>
      </c>
      <c r="F55" s="348">
        <v>4000000000</v>
      </c>
      <c r="G55" s="348">
        <v>4000000000</v>
      </c>
      <c r="H55" s="348">
        <v>4000000000</v>
      </c>
    </row>
    <row r="56" spans="1:8" s="341" customFormat="1" ht="4.5" customHeight="1">
      <c r="A56" s="368"/>
      <c r="B56" s="369"/>
      <c r="E56" s="372"/>
      <c r="F56" s="372"/>
      <c r="G56" s="372"/>
      <c r="H56" s="372"/>
    </row>
    <row r="57" spans="1:8" s="341" customFormat="1" ht="34.5" customHeight="1">
      <c r="A57" s="373"/>
      <c r="B57" s="374" t="s">
        <v>475</v>
      </c>
      <c r="C57" s="375" t="e">
        <f t="shared" ref="C57:H57" si="15">+C42+C39</f>
        <v>#REF!</v>
      </c>
      <c r="D57" s="375">
        <f t="shared" si="15"/>
        <v>0</v>
      </c>
      <c r="E57" s="376">
        <f t="shared" si="15"/>
        <v>0.214599609375</v>
      </c>
      <c r="F57" s="376">
        <f t="shared" si="15"/>
        <v>0.47314453125</v>
      </c>
      <c r="G57" s="377">
        <f t="shared" si="15"/>
        <v>-0.27978515625</v>
      </c>
      <c r="H57" s="376">
        <f t="shared" si="15"/>
        <v>0.15478515625</v>
      </c>
    </row>
    <row r="58" spans="1:8" s="349" customFormat="1" ht="21" customHeight="1">
      <c r="A58" s="378"/>
      <c r="B58" s="379"/>
    </row>
    <row r="59" spans="1:8" s="349" customFormat="1" ht="21" customHeight="1">
      <c r="A59" s="380"/>
      <c r="B59" s="381" t="s">
        <v>476</v>
      </c>
    </row>
    <row r="60" spans="1:8" s="349" customFormat="1" ht="21" customHeight="1">
      <c r="A60" s="380"/>
      <c r="B60" s="382" t="s">
        <v>477</v>
      </c>
      <c r="E60" s="383"/>
    </row>
    <row r="61" spans="1:8" s="349" customFormat="1" ht="21" customHeight="1">
      <c r="A61" s="380"/>
      <c r="B61" s="382" t="s">
        <v>478</v>
      </c>
    </row>
    <row r="62" spans="1:8" s="349" customFormat="1" ht="21" customHeight="1">
      <c r="A62" s="380"/>
      <c r="B62" s="382" t="s">
        <v>479</v>
      </c>
      <c r="E62" s="383"/>
    </row>
    <row r="63" spans="1:8" s="349" customFormat="1" ht="21" customHeight="1">
      <c r="A63" s="380"/>
      <c r="B63" s="382" t="s">
        <v>480</v>
      </c>
    </row>
    <row r="64" spans="1:8" s="349" customFormat="1" ht="21" customHeight="1">
      <c r="A64" s="380"/>
      <c r="B64" s="382" t="s">
        <v>481</v>
      </c>
    </row>
    <row r="65" spans="1:2" s="349" customFormat="1" ht="21" customHeight="1">
      <c r="A65" s="380"/>
      <c r="B65" s="382" t="s">
        <v>482</v>
      </c>
    </row>
    <row r="66" spans="1:2" s="349" customFormat="1" ht="21" customHeight="1">
      <c r="A66" s="380"/>
      <c r="B66" s="382" t="s">
        <v>483</v>
      </c>
    </row>
    <row r="67" spans="1:2" s="349" customFormat="1" ht="21" customHeight="1">
      <c r="A67" s="380"/>
      <c r="B67" s="382" t="s">
        <v>484</v>
      </c>
    </row>
    <row r="68" spans="1:2" s="349" customFormat="1" ht="21" customHeight="1">
      <c r="A68" s="380"/>
      <c r="B68" s="382"/>
    </row>
    <row r="69" spans="1:2" s="349" customFormat="1" ht="21" customHeight="1">
      <c r="A69" s="380"/>
      <c r="B69" s="382" t="s">
        <v>485</v>
      </c>
    </row>
    <row r="70" spans="1:2" s="349" customFormat="1" ht="21" customHeight="1">
      <c r="A70" s="380"/>
      <c r="B70" s="382" t="s">
        <v>486</v>
      </c>
    </row>
    <row r="71" spans="1:2" s="349" customFormat="1" ht="21" customHeight="1">
      <c r="A71" s="380"/>
      <c r="B71" s="382" t="s">
        <v>487</v>
      </c>
    </row>
    <row r="72" spans="1:2" s="349" customFormat="1" ht="21" customHeight="1">
      <c r="A72" s="380"/>
      <c r="B72" s="382" t="s">
        <v>488</v>
      </c>
    </row>
    <row r="73" spans="1:2" s="349" customFormat="1" ht="21" customHeight="1">
      <c r="A73" s="380"/>
      <c r="B73" s="382" t="s">
        <v>489</v>
      </c>
    </row>
    <row r="74" spans="1:2" s="349" customFormat="1" ht="21" customHeight="1">
      <c r="A74" s="380"/>
      <c r="B74" s="382" t="s">
        <v>490</v>
      </c>
    </row>
    <row r="75" spans="1:2" s="349" customFormat="1" ht="21" customHeight="1">
      <c r="A75" s="380"/>
      <c r="B75" s="382" t="s">
        <v>491</v>
      </c>
    </row>
    <row r="76" spans="1:2" s="349" customFormat="1" ht="21" customHeight="1">
      <c r="A76" s="380"/>
      <c r="B76" s="382"/>
    </row>
    <row r="77" spans="1:2" s="349" customFormat="1" ht="21" customHeight="1">
      <c r="A77" s="380"/>
      <c r="B77" s="382" t="s">
        <v>492</v>
      </c>
    </row>
    <row r="78" spans="1:2" s="349" customFormat="1" ht="21" customHeight="1">
      <c r="A78" s="380"/>
      <c r="B78" s="382"/>
    </row>
    <row r="79" spans="1:2" s="349" customFormat="1" ht="21" customHeight="1">
      <c r="A79" s="380"/>
      <c r="B79" s="382"/>
    </row>
    <row r="80" spans="1:2" s="349" customFormat="1" ht="21" customHeight="1">
      <c r="A80" s="380"/>
      <c r="B80" s="382"/>
    </row>
    <row r="81" spans="1:2" s="349" customFormat="1" ht="21" customHeight="1">
      <c r="A81" s="380"/>
      <c r="B81" s="382"/>
    </row>
    <row r="82" spans="1:2" s="349" customFormat="1" ht="21" customHeight="1">
      <c r="A82" s="380"/>
      <c r="B82" s="382"/>
    </row>
    <row r="83" spans="1:2" s="349" customFormat="1" ht="21" customHeight="1">
      <c r="A83" s="380"/>
      <c r="B83" s="382" t="s">
        <v>493</v>
      </c>
    </row>
    <row r="84" spans="1:2" s="349" customFormat="1" ht="21" customHeight="1">
      <c r="A84" s="380"/>
      <c r="B84" s="382"/>
    </row>
    <row r="85" spans="1:2" s="349" customFormat="1" ht="21" customHeight="1">
      <c r="A85" s="380"/>
      <c r="B85" s="382"/>
    </row>
    <row r="86" spans="1:2" s="349" customFormat="1" ht="21" customHeight="1">
      <c r="A86" s="380"/>
      <c r="B86" s="382"/>
    </row>
    <row r="87" spans="1:2" s="349" customFormat="1" ht="21" customHeight="1">
      <c r="A87" s="380"/>
      <c r="B87" s="382"/>
    </row>
    <row r="88" spans="1:2" s="349" customFormat="1" ht="21" customHeight="1">
      <c r="A88" s="380"/>
      <c r="B88" s="382"/>
    </row>
    <row r="89" spans="1:2" s="349" customFormat="1" ht="21" customHeight="1">
      <c r="A89" s="380"/>
      <c r="B89" s="382"/>
    </row>
    <row r="90" spans="1:2" s="349" customFormat="1" ht="21" customHeight="1">
      <c r="A90" s="380"/>
      <c r="B90" s="382"/>
    </row>
    <row r="91" spans="1:2" s="349" customFormat="1" ht="21" customHeight="1">
      <c r="A91" s="380"/>
      <c r="B91" s="382"/>
    </row>
    <row r="92" spans="1:2" s="349" customFormat="1" ht="21" customHeight="1">
      <c r="A92" s="380"/>
      <c r="B92" s="382"/>
    </row>
    <row r="93" spans="1:2" s="349" customFormat="1" ht="21" customHeight="1">
      <c r="A93" s="380"/>
      <c r="B93" s="382"/>
    </row>
    <row r="94" spans="1:2" s="349" customFormat="1" ht="21" customHeight="1">
      <c r="A94" s="380"/>
      <c r="B94" s="382"/>
    </row>
    <row r="95" spans="1:2" s="349" customFormat="1" ht="21" customHeight="1">
      <c r="A95" s="380"/>
      <c r="B95" s="382"/>
    </row>
    <row r="96" spans="1:2" s="349" customFormat="1" ht="21" customHeight="1">
      <c r="A96" s="380"/>
      <c r="B96" s="382"/>
    </row>
    <row r="97" spans="1:2" s="349" customFormat="1" ht="21" customHeight="1">
      <c r="A97" s="380"/>
      <c r="B97" s="382"/>
    </row>
    <row r="98" spans="1:2" s="349" customFormat="1" ht="21" customHeight="1">
      <c r="A98" s="380"/>
      <c r="B98" s="382"/>
    </row>
    <row r="99" spans="1:2" s="349" customFormat="1" ht="21" customHeight="1">
      <c r="A99" s="380"/>
      <c r="B99" s="382"/>
    </row>
    <row r="100" spans="1:2" s="349" customFormat="1" ht="21" customHeight="1">
      <c r="A100" s="380"/>
      <c r="B100" s="382"/>
    </row>
    <row r="101" spans="1:2" s="349" customFormat="1" ht="21" customHeight="1">
      <c r="A101" s="380"/>
      <c r="B101" s="382"/>
    </row>
    <row r="102" spans="1:2" s="349" customFormat="1" ht="21" customHeight="1">
      <c r="A102" s="380"/>
      <c r="B102" s="382"/>
    </row>
    <row r="103" spans="1:2" s="349" customFormat="1" ht="21" customHeight="1">
      <c r="A103" s="380"/>
      <c r="B103" s="382"/>
    </row>
    <row r="104" spans="1:2" s="349" customFormat="1" ht="21" customHeight="1">
      <c r="A104" s="380"/>
      <c r="B104" s="382"/>
    </row>
    <row r="105" spans="1:2" s="349" customFormat="1" ht="21" customHeight="1">
      <c r="A105" s="380"/>
      <c r="B105" s="382"/>
    </row>
    <row r="106" spans="1:2" s="349" customFormat="1" ht="21" customHeight="1">
      <c r="A106" s="380"/>
      <c r="B106" s="382"/>
    </row>
    <row r="107" spans="1:2" s="349" customFormat="1" ht="21" customHeight="1">
      <c r="A107" s="380"/>
      <c r="B107" s="382"/>
    </row>
    <row r="108" spans="1:2" s="349" customFormat="1" ht="21" customHeight="1">
      <c r="A108" s="380"/>
      <c r="B108" s="382"/>
    </row>
    <row r="109" spans="1:2" s="349" customFormat="1" ht="21" customHeight="1">
      <c r="A109" s="380"/>
      <c r="B109" s="382"/>
    </row>
    <row r="110" spans="1:2" s="349" customFormat="1" ht="21" customHeight="1">
      <c r="A110" s="380"/>
      <c r="B110" s="382"/>
    </row>
    <row r="111" spans="1:2" s="349" customFormat="1" ht="21" customHeight="1">
      <c r="A111" s="380"/>
      <c r="B111" s="382"/>
    </row>
    <row r="112" spans="1:2" s="349" customFormat="1" ht="21" customHeight="1">
      <c r="A112" s="380"/>
      <c r="B112" s="382"/>
    </row>
    <row r="113" spans="1:8" s="349" customFormat="1" ht="21" customHeight="1">
      <c r="A113" s="380"/>
      <c r="B113" s="382"/>
    </row>
    <row r="115" spans="1:8" ht="20.100000000000001" customHeight="1">
      <c r="D115" s="386">
        <f>+D26-D20</f>
        <v>497644536446</v>
      </c>
      <c r="E115" s="387">
        <f>+'[1]BELANJA WAJIB'!E6</f>
        <v>518517500000</v>
      </c>
      <c r="F115" s="387">
        <f>+'[1]BELANJA WAJIB'!F6</f>
        <v>561295193750</v>
      </c>
      <c r="G115" s="387">
        <f>+'[1]BELANJA WAJIB'!G6</f>
        <v>607602047234.375</v>
      </c>
      <c r="H115" s="387">
        <f>+'[1]BELANJA WAJIB'!H6</f>
        <v>659248221249.29687</v>
      </c>
    </row>
    <row r="116" spans="1:8" ht="20.100000000000001" customHeight="1">
      <c r="E116" s="13" t="s">
        <v>8</v>
      </c>
    </row>
    <row r="117" spans="1:8" ht="20.100000000000001" customHeight="1">
      <c r="D117" s="386" t="s">
        <v>8</v>
      </c>
    </row>
    <row r="118" spans="1:8" ht="20.100000000000001" customHeight="1">
      <c r="E118" s="13">
        <v>2015</v>
      </c>
      <c r="F118" s="388">
        <f>+[2]Sheet2!$O$56</f>
        <v>5304.8333333333358</v>
      </c>
      <c r="G118" s="289">
        <v>18000</v>
      </c>
      <c r="H118" s="289">
        <f>+F118+G118</f>
        <v>23304.833333333336</v>
      </c>
    </row>
    <row r="119" spans="1:8" ht="20.100000000000001" customHeight="1">
      <c r="E119" s="13">
        <v>2016</v>
      </c>
      <c r="F119" s="388">
        <f>+[2]Sheet2!$O$57</f>
        <v>4536</v>
      </c>
      <c r="G119" s="289">
        <v>24000</v>
      </c>
      <c r="H119" s="289">
        <f t="shared" ref="H119:H121" si="16">+F119+G119</f>
        <v>28536</v>
      </c>
    </row>
    <row r="120" spans="1:8" ht="20.100000000000001" customHeight="1">
      <c r="E120" s="13">
        <v>2017</v>
      </c>
      <c r="F120" s="388">
        <f>+[2]Sheet2!$O$58</f>
        <v>2808</v>
      </c>
      <c r="G120" s="289">
        <v>24000</v>
      </c>
      <c r="H120" s="289">
        <f t="shared" si="16"/>
        <v>26808</v>
      </c>
    </row>
    <row r="121" spans="1:8" ht="20.100000000000001" customHeight="1">
      <c r="E121" s="13">
        <v>2018</v>
      </c>
      <c r="F121" s="388">
        <f>+[2]Sheet2!$O$59</f>
        <v>1080</v>
      </c>
      <c r="G121" s="289">
        <v>24000</v>
      </c>
      <c r="H121" s="289">
        <f t="shared" si="16"/>
        <v>25080</v>
      </c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3:N22"/>
  <sheetViews>
    <sheetView topLeftCell="B1" workbookViewId="0">
      <selection activeCell="J26" sqref="J26"/>
    </sheetView>
  </sheetViews>
  <sheetFormatPr defaultRowHeight="11.25"/>
  <cols>
    <col min="1" max="1" width="4" style="6" bestFit="1" customWidth="1"/>
    <col min="2" max="2" width="4.85546875" style="6" customWidth="1"/>
    <col min="3" max="3" width="34.85546875" style="6" customWidth="1"/>
    <col min="4" max="14" width="15.7109375" style="7" customWidth="1"/>
    <col min="15" max="16384" width="9.140625" style="6"/>
  </cols>
  <sheetData>
    <row r="3" spans="1:14">
      <c r="D3" s="389">
        <v>2008</v>
      </c>
      <c r="E3" s="389">
        <v>2009</v>
      </c>
      <c r="F3" s="389">
        <v>2010</v>
      </c>
      <c r="G3" s="389">
        <v>2011</v>
      </c>
      <c r="H3" s="389">
        <v>2012</v>
      </c>
      <c r="I3" s="389">
        <v>2013</v>
      </c>
      <c r="J3" s="389">
        <v>2014</v>
      </c>
      <c r="K3" s="389">
        <v>2015</v>
      </c>
      <c r="L3" s="389">
        <v>2016</v>
      </c>
      <c r="M3" s="389">
        <v>2017</v>
      </c>
      <c r="N3" s="389">
        <v>2018</v>
      </c>
    </row>
    <row r="4" spans="1:14"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</row>
    <row r="5" spans="1:14">
      <c r="A5" s="6" t="s">
        <v>16</v>
      </c>
      <c r="B5" s="6" t="s">
        <v>7</v>
      </c>
      <c r="D5" s="7">
        <f>+'Realisasi Pendapatan'!C6</f>
        <v>576614217128</v>
      </c>
      <c r="E5" s="7">
        <f>+'Realisasi Pendapatan'!D6</f>
        <v>623122779590</v>
      </c>
      <c r="F5" s="7">
        <f>+'Realisasi Pendapatan'!E6</f>
        <v>675659734845</v>
      </c>
      <c r="G5" s="7">
        <f>+'Realisasi Pendapatan'!F6</f>
        <v>823479890034</v>
      </c>
      <c r="H5" s="7">
        <f>+'Realisasi Pendapatan'!G6</f>
        <v>966815573681</v>
      </c>
      <c r="I5" s="7">
        <f>+'Renacana pendapatan'!J10</f>
        <v>1049311615255</v>
      </c>
      <c r="J5" s="7">
        <f>+'Renacana pendapatan'!K10</f>
        <v>1136305222000.3025</v>
      </c>
      <c r="K5" s="7">
        <f>+'Renacana pendapatan'!L10</f>
        <v>1269007530699.5481</v>
      </c>
      <c r="L5" s="7">
        <f>+'Renacana pendapatan'!M10</f>
        <v>1338992594871.4731</v>
      </c>
      <c r="M5" s="7">
        <f>+'Renacana pendapatan'!N10</f>
        <v>1407602905537.2253</v>
      </c>
      <c r="N5" s="7">
        <f>+'Renacana pendapatan'!O10</f>
        <v>1488813081736</v>
      </c>
    </row>
    <row r="6" spans="1:14">
      <c r="C6" s="6" t="s">
        <v>8</v>
      </c>
    </row>
    <row r="7" spans="1:14">
      <c r="A7" s="6" t="s">
        <v>17</v>
      </c>
      <c r="B7" s="6" t="s">
        <v>9</v>
      </c>
      <c r="D7" s="7">
        <f>+'Realisasi Belanja'!C6</f>
        <v>611356971071</v>
      </c>
      <c r="E7" s="7">
        <f>+'Realisasi Belanja'!E6</f>
        <v>606966527358</v>
      </c>
      <c r="F7" s="7">
        <f>+'Realisasi Belanja'!G6</f>
        <v>662203879316</v>
      </c>
      <c r="G7" s="7">
        <f>+'Realisasi Belanja'!I6</f>
        <v>816160548955</v>
      </c>
      <c r="H7" s="7">
        <f>+'Realisasi Belanja'!K6</f>
        <v>956324159986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9" spans="1:14">
      <c r="A9" s="6" t="s">
        <v>18</v>
      </c>
      <c r="B9" s="6" t="s">
        <v>19</v>
      </c>
      <c r="D9" s="7">
        <f>+'Realisasi pembiayaan'!C14</f>
        <v>5685504136</v>
      </c>
      <c r="E9" s="7">
        <f>+'Realisasi pembiayaan'!D14</f>
        <v>9238767049</v>
      </c>
      <c r="F9" s="7">
        <f>+'Realisasi pembiayaan'!E14</f>
        <v>7427192600</v>
      </c>
      <c r="G9" s="7">
        <f>+'Realisasi pembiayaan'!F14</f>
        <v>9647659020</v>
      </c>
      <c r="H9" s="7">
        <f>+'Realisasi pembiayaan'!G14</f>
        <v>14963113944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1" spans="1:14">
      <c r="A11" s="6" t="s">
        <v>22</v>
      </c>
      <c r="C11" s="6" t="s">
        <v>20</v>
      </c>
      <c r="D11" s="7">
        <f>+D5-D7-D9</f>
        <v>-40428258079</v>
      </c>
      <c r="E11" s="7">
        <f t="shared" ref="E11:L11" si="0">+E5-E7-E9</f>
        <v>6917485183</v>
      </c>
      <c r="F11" s="7">
        <f t="shared" si="0"/>
        <v>6028662929</v>
      </c>
      <c r="G11" s="7">
        <f t="shared" si="0"/>
        <v>-2328317941</v>
      </c>
      <c r="H11" s="7">
        <f t="shared" si="0"/>
        <v>-4471700249</v>
      </c>
      <c r="I11" s="7">
        <f t="shared" si="0"/>
        <v>1049311615255</v>
      </c>
      <c r="J11" s="7">
        <f t="shared" si="0"/>
        <v>1136305222000.3025</v>
      </c>
      <c r="K11" s="7">
        <f t="shared" si="0"/>
        <v>1269007530699.5481</v>
      </c>
      <c r="L11" s="7">
        <f t="shared" si="0"/>
        <v>1338992594871.4731</v>
      </c>
      <c r="M11" s="7">
        <f t="shared" ref="M11:N11" si="1">+M5-M7-M9</f>
        <v>1407602905537.2253</v>
      </c>
      <c r="N11" s="7">
        <f t="shared" si="1"/>
        <v>1488813081736</v>
      </c>
    </row>
    <row r="14" spans="1:14">
      <c r="A14" s="6" t="s">
        <v>21</v>
      </c>
      <c r="B14" s="6" t="s">
        <v>10</v>
      </c>
      <c r="D14" s="7">
        <f>+'Realisasi pembiayaan'!C8</f>
        <v>56880649463</v>
      </c>
      <c r="E14" s="7">
        <f>+'Realisasi pembiayaan'!D8</f>
        <v>30233284008</v>
      </c>
      <c r="F14" s="7">
        <f>+'Realisasi pembiayaan'!E8</f>
        <v>39779853641</v>
      </c>
      <c r="G14" s="7">
        <f>+'Realisasi pembiayaan'!F8</f>
        <v>46221398450</v>
      </c>
      <c r="H14" s="7">
        <f>+'Realisasi pembiayaan'!G8</f>
        <v>44156820949</v>
      </c>
    </row>
    <row r="15" spans="1:14">
      <c r="A15" s="6" t="s">
        <v>23</v>
      </c>
      <c r="B15" s="6" t="s">
        <v>11</v>
      </c>
      <c r="D15" s="7">
        <f>+'Realisasi pembiayaan'!C9</f>
        <v>10426478900</v>
      </c>
      <c r="E15" s="7">
        <f>+'Realisasi pembiayaan'!D9</f>
        <v>0</v>
      </c>
      <c r="F15" s="7">
        <f>+'Realisasi pembiayaan'!E9</f>
        <v>0</v>
      </c>
      <c r="G15" s="7">
        <f>+'Realisasi pembiayaan'!F9</f>
        <v>0</v>
      </c>
    </row>
    <row r="16" spans="1:14">
      <c r="A16" s="6" t="s">
        <v>24</v>
      </c>
      <c r="B16" s="6" t="s">
        <v>12</v>
      </c>
      <c r="D16" s="7">
        <f>+'Realisasi pembiayaan'!C10</f>
        <v>0</v>
      </c>
      <c r="E16" s="7">
        <f>+'Realisasi pembiayaan'!D10</f>
        <v>0</v>
      </c>
      <c r="F16" s="7">
        <f>+'Realisasi pembiayaan'!E10</f>
        <v>0</v>
      </c>
      <c r="G16" s="7">
        <f>+'Realisasi pembiayaan'!F10</f>
        <v>0</v>
      </c>
    </row>
    <row r="17" spans="1:14">
      <c r="A17" s="6" t="s">
        <v>25</v>
      </c>
      <c r="B17" s="6" t="s">
        <v>504</v>
      </c>
      <c r="D17" s="7">
        <f>+'Realisasi pembiayaan'!C11</f>
        <v>3354413724</v>
      </c>
      <c r="E17" s="7">
        <f>+'Realisasi pembiayaan'!D11</f>
        <v>2629084460</v>
      </c>
      <c r="F17" s="7">
        <f>+'Realisasi pembiayaan'!E11</f>
        <v>412881880</v>
      </c>
      <c r="G17" s="7">
        <f>+'Realisasi pembiayaan'!F11</f>
        <v>263740440</v>
      </c>
      <c r="H17" s="7">
        <f>+'Realisasi pembiayaan'!G11</f>
        <v>2091426555</v>
      </c>
    </row>
    <row r="18" spans="1:14">
      <c r="A18" s="6" t="s">
        <v>26</v>
      </c>
      <c r="B18" s="6" t="s">
        <v>13</v>
      </c>
      <c r="D18" s="7">
        <f>+'Realisasi pembiayaan'!C12</f>
        <v>0</v>
      </c>
      <c r="E18" s="7">
        <f>+'Realisasi pembiayaan'!D12</f>
        <v>0</v>
      </c>
      <c r="F18" s="7">
        <f>+'Realisasi pembiayaan'!E12</f>
        <v>0</v>
      </c>
      <c r="G18" s="7">
        <f>+'Realisasi pembiayaan'!F12</f>
        <v>0</v>
      </c>
    </row>
    <row r="20" spans="1:14">
      <c r="A20" s="6" t="s">
        <v>27</v>
      </c>
      <c r="C20" s="6" t="s">
        <v>14</v>
      </c>
      <c r="D20" s="7">
        <f>SUM(D14:D18)</f>
        <v>70661542087</v>
      </c>
      <c r="E20" s="7">
        <f t="shared" ref="E20:N20" si="2">SUM(E14:E18)</f>
        <v>32862368468</v>
      </c>
      <c r="F20" s="7">
        <f t="shared" si="2"/>
        <v>40192735521</v>
      </c>
      <c r="G20" s="7">
        <f t="shared" si="2"/>
        <v>46485138890</v>
      </c>
      <c r="H20" s="7">
        <f t="shared" si="2"/>
        <v>46248247504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7">
        <f t="shared" si="2"/>
        <v>0</v>
      </c>
      <c r="M20" s="7">
        <f t="shared" si="2"/>
        <v>0</v>
      </c>
      <c r="N20" s="7">
        <f t="shared" si="2"/>
        <v>0</v>
      </c>
    </row>
    <row r="22" spans="1:14">
      <c r="A22" s="6" t="s">
        <v>505</v>
      </c>
      <c r="B22" s="6" t="s">
        <v>15</v>
      </c>
      <c r="D22" s="7">
        <f>+D11+D20</f>
        <v>30233284008</v>
      </c>
      <c r="E22" s="7">
        <f t="shared" ref="E22:H22" si="3">+E11+E20</f>
        <v>39779853651</v>
      </c>
      <c r="F22" s="7">
        <f t="shared" si="3"/>
        <v>46221398450</v>
      </c>
      <c r="G22" s="7">
        <f t="shared" si="3"/>
        <v>44156820949</v>
      </c>
      <c r="H22" s="7">
        <f t="shared" si="3"/>
        <v>41776547255</v>
      </c>
      <c r="I22" s="7">
        <f t="shared" ref="I22:N22" si="4">+I11-I20</f>
        <v>1049311615255</v>
      </c>
      <c r="J22" s="7">
        <f t="shared" si="4"/>
        <v>1136305222000.3025</v>
      </c>
      <c r="K22" s="7">
        <f t="shared" si="4"/>
        <v>1269007530699.5481</v>
      </c>
      <c r="L22" s="7">
        <f t="shared" si="4"/>
        <v>1338992594871.4731</v>
      </c>
      <c r="M22" s="7">
        <f t="shared" si="4"/>
        <v>1407602905537.2253</v>
      </c>
      <c r="N22" s="7">
        <f t="shared" si="4"/>
        <v>1488813081736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N29"/>
  <sheetViews>
    <sheetView workbookViewId="0">
      <selection activeCell="B16" sqref="B16"/>
    </sheetView>
  </sheetViews>
  <sheetFormatPr defaultColWidth="23.28515625" defaultRowHeight="20.100000000000001" customHeight="1"/>
  <cols>
    <col min="1" max="1" width="6.85546875" style="51" customWidth="1"/>
    <col min="2" max="2" width="58" style="52" customWidth="1"/>
    <col min="3" max="4" width="25" style="53" customWidth="1"/>
    <col min="5" max="6" width="20.7109375" style="54" customWidth="1"/>
    <col min="7" max="7" width="25" style="54" customWidth="1"/>
    <col min="8" max="242" width="9.140625" style="54" customWidth="1"/>
    <col min="243" max="243" width="6" style="54" customWidth="1"/>
    <col min="244" max="244" width="50.28515625" style="54" customWidth="1"/>
    <col min="245" max="246" width="0" style="54" hidden="1" customWidth="1"/>
    <col min="247" max="247" width="20.7109375" style="54" customWidth="1"/>
    <col min="248" max="248" width="23.28515625" style="54" customWidth="1"/>
    <col min="249" max="258" width="23.28515625" style="50"/>
    <col min="259" max="259" width="13.140625" style="50" customWidth="1"/>
    <col min="260" max="260" width="58" style="50" customWidth="1"/>
    <col min="261" max="261" width="25" style="50" customWidth="1"/>
    <col min="262" max="262" width="20.7109375" style="50" customWidth="1"/>
    <col min="263" max="263" width="25" style="50" customWidth="1"/>
    <col min="264" max="498" width="9.140625" style="50" customWidth="1"/>
    <col min="499" max="499" width="6" style="50" customWidth="1"/>
    <col min="500" max="500" width="50.28515625" style="50" customWidth="1"/>
    <col min="501" max="502" width="0" style="50" hidden="1" customWidth="1"/>
    <col min="503" max="503" width="20.7109375" style="50" customWidth="1"/>
    <col min="504" max="504" width="23.28515625" style="50" customWidth="1"/>
    <col min="505" max="514" width="23.28515625" style="50"/>
    <col min="515" max="515" width="13.140625" style="50" customWidth="1"/>
    <col min="516" max="516" width="58" style="50" customWidth="1"/>
    <col min="517" max="517" width="25" style="50" customWidth="1"/>
    <col min="518" max="518" width="20.7109375" style="50" customWidth="1"/>
    <col min="519" max="519" width="25" style="50" customWidth="1"/>
    <col min="520" max="754" width="9.140625" style="50" customWidth="1"/>
    <col min="755" max="755" width="6" style="50" customWidth="1"/>
    <col min="756" max="756" width="50.28515625" style="50" customWidth="1"/>
    <col min="757" max="758" width="0" style="50" hidden="1" customWidth="1"/>
    <col min="759" max="759" width="20.7109375" style="50" customWidth="1"/>
    <col min="760" max="760" width="23.28515625" style="50" customWidth="1"/>
    <col min="761" max="770" width="23.28515625" style="50"/>
    <col min="771" max="771" width="13.140625" style="50" customWidth="1"/>
    <col min="772" max="772" width="58" style="50" customWidth="1"/>
    <col min="773" max="773" width="25" style="50" customWidth="1"/>
    <col min="774" max="774" width="20.7109375" style="50" customWidth="1"/>
    <col min="775" max="775" width="25" style="50" customWidth="1"/>
    <col min="776" max="1010" width="9.140625" style="50" customWidth="1"/>
    <col min="1011" max="1011" width="6" style="50" customWidth="1"/>
    <col min="1012" max="1012" width="50.28515625" style="50" customWidth="1"/>
    <col min="1013" max="1014" width="0" style="50" hidden="1" customWidth="1"/>
    <col min="1015" max="1015" width="20.7109375" style="50" customWidth="1"/>
    <col min="1016" max="1016" width="23.28515625" style="50" customWidth="1"/>
    <col min="1017" max="1026" width="23.28515625" style="50"/>
    <col min="1027" max="1027" width="13.140625" style="50" customWidth="1"/>
    <col min="1028" max="1028" width="58" style="50" customWidth="1"/>
    <col min="1029" max="1029" width="25" style="50" customWidth="1"/>
    <col min="1030" max="1030" width="20.7109375" style="50" customWidth="1"/>
    <col min="1031" max="1031" width="25" style="50" customWidth="1"/>
    <col min="1032" max="1266" width="9.140625" style="50" customWidth="1"/>
    <col min="1267" max="1267" width="6" style="50" customWidth="1"/>
    <col min="1268" max="1268" width="50.28515625" style="50" customWidth="1"/>
    <col min="1269" max="1270" width="0" style="50" hidden="1" customWidth="1"/>
    <col min="1271" max="1271" width="20.7109375" style="50" customWidth="1"/>
    <col min="1272" max="1272" width="23.28515625" style="50" customWidth="1"/>
    <col min="1273" max="1282" width="23.28515625" style="50"/>
    <col min="1283" max="1283" width="13.140625" style="50" customWidth="1"/>
    <col min="1284" max="1284" width="58" style="50" customWidth="1"/>
    <col min="1285" max="1285" width="25" style="50" customWidth="1"/>
    <col min="1286" max="1286" width="20.7109375" style="50" customWidth="1"/>
    <col min="1287" max="1287" width="25" style="50" customWidth="1"/>
    <col min="1288" max="1522" width="9.140625" style="50" customWidth="1"/>
    <col min="1523" max="1523" width="6" style="50" customWidth="1"/>
    <col min="1524" max="1524" width="50.28515625" style="50" customWidth="1"/>
    <col min="1525" max="1526" width="0" style="50" hidden="1" customWidth="1"/>
    <col min="1527" max="1527" width="20.7109375" style="50" customWidth="1"/>
    <col min="1528" max="1528" width="23.28515625" style="50" customWidth="1"/>
    <col min="1529" max="1538" width="23.28515625" style="50"/>
    <col min="1539" max="1539" width="13.140625" style="50" customWidth="1"/>
    <col min="1540" max="1540" width="58" style="50" customWidth="1"/>
    <col min="1541" max="1541" width="25" style="50" customWidth="1"/>
    <col min="1542" max="1542" width="20.7109375" style="50" customWidth="1"/>
    <col min="1543" max="1543" width="25" style="50" customWidth="1"/>
    <col min="1544" max="1778" width="9.140625" style="50" customWidth="1"/>
    <col min="1779" max="1779" width="6" style="50" customWidth="1"/>
    <col min="1780" max="1780" width="50.28515625" style="50" customWidth="1"/>
    <col min="1781" max="1782" width="0" style="50" hidden="1" customWidth="1"/>
    <col min="1783" max="1783" width="20.7109375" style="50" customWidth="1"/>
    <col min="1784" max="1784" width="23.28515625" style="50" customWidth="1"/>
    <col min="1785" max="1794" width="23.28515625" style="50"/>
    <col min="1795" max="1795" width="13.140625" style="50" customWidth="1"/>
    <col min="1796" max="1796" width="58" style="50" customWidth="1"/>
    <col min="1797" max="1797" width="25" style="50" customWidth="1"/>
    <col min="1798" max="1798" width="20.7109375" style="50" customWidth="1"/>
    <col min="1799" max="1799" width="25" style="50" customWidth="1"/>
    <col min="1800" max="2034" width="9.140625" style="50" customWidth="1"/>
    <col min="2035" max="2035" width="6" style="50" customWidth="1"/>
    <col min="2036" max="2036" width="50.28515625" style="50" customWidth="1"/>
    <col min="2037" max="2038" width="0" style="50" hidden="1" customWidth="1"/>
    <col min="2039" max="2039" width="20.7109375" style="50" customWidth="1"/>
    <col min="2040" max="2040" width="23.28515625" style="50" customWidth="1"/>
    <col min="2041" max="2050" width="23.28515625" style="50"/>
    <col min="2051" max="2051" width="13.140625" style="50" customWidth="1"/>
    <col min="2052" max="2052" width="58" style="50" customWidth="1"/>
    <col min="2053" max="2053" width="25" style="50" customWidth="1"/>
    <col min="2054" max="2054" width="20.7109375" style="50" customWidth="1"/>
    <col min="2055" max="2055" width="25" style="50" customWidth="1"/>
    <col min="2056" max="2290" width="9.140625" style="50" customWidth="1"/>
    <col min="2291" max="2291" width="6" style="50" customWidth="1"/>
    <col min="2292" max="2292" width="50.28515625" style="50" customWidth="1"/>
    <col min="2293" max="2294" width="0" style="50" hidden="1" customWidth="1"/>
    <col min="2295" max="2295" width="20.7109375" style="50" customWidth="1"/>
    <col min="2296" max="2296" width="23.28515625" style="50" customWidth="1"/>
    <col min="2297" max="2306" width="23.28515625" style="50"/>
    <col min="2307" max="2307" width="13.140625" style="50" customWidth="1"/>
    <col min="2308" max="2308" width="58" style="50" customWidth="1"/>
    <col min="2309" max="2309" width="25" style="50" customWidth="1"/>
    <col min="2310" max="2310" width="20.7109375" style="50" customWidth="1"/>
    <col min="2311" max="2311" width="25" style="50" customWidth="1"/>
    <col min="2312" max="2546" width="9.140625" style="50" customWidth="1"/>
    <col min="2547" max="2547" width="6" style="50" customWidth="1"/>
    <col min="2548" max="2548" width="50.28515625" style="50" customWidth="1"/>
    <col min="2549" max="2550" width="0" style="50" hidden="1" customWidth="1"/>
    <col min="2551" max="2551" width="20.7109375" style="50" customWidth="1"/>
    <col min="2552" max="2552" width="23.28515625" style="50" customWidth="1"/>
    <col min="2553" max="2562" width="23.28515625" style="50"/>
    <col min="2563" max="2563" width="13.140625" style="50" customWidth="1"/>
    <col min="2564" max="2564" width="58" style="50" customWidth="1"/>
    <col min="2565" max="2565" width="25" style="50" customWidth="1"/>
    <col min="2566" max="2566" width="20.7109375" style="50" customWidth="1"/>
    <col min="2567" max="2567" width="25" style="50" customWidth="1"/>
    <col min="2568" max="2802" width="9.140625" style="50" customWidth="1"/>
    <col min="2803" max="2803" width="6" style="50" customWidth="1"/>
    <col min="2804" max="2804" width="50.28515625" style="50" customWidth="1"/>
    <col min="2805" max="2806" width="0" style="50" hidden="1" customWidth="1"/>
    <col min="2807" max="2807" width="20.7109375" style="50" customWidth="1"/>
    <col min="2808" max="2808" width="23.28515625" style="50" customWidth="1"/>
    <col min="2809" max="2818" width="23.28515625" style="50"/>
    <col min="2819" max="2819" width="13.140625" style="50" customWidth="1"/>
    <col min="2820" max="2820" width="58" style="50" customWidth="1"/>
    <col min="2821" max="2821" width="25" style="50" customWidth="1"/>
    <col min="2822" max="2822" width="20.7109375" style="50" customWidth="1"/>
    <col min="2823" max="2823" width="25" style="50" customWidth="1"/>
    <col min="2824" max="3058" width="9.140625" style="50" customWidth="1"/>
    <col min="3059" max="3059" width="6" style="50" customWidth="1"/>
    <col min="3060" max="3060" width="50.28515625" style="50" customWidth="1"/>
    <col min="3061" max="3062" width="0" style="50" hidden="1" customWidth="1"/>
    <col min="3063" max="3063" width="20.7109375" style="50" customWidth="1"/>
    <col min="3064" max="3064" width="23.28515625" style="50" customWidth="1"/>
    <col min="3065" max="3074" width="23.28515625" style="50"/>
    <col min="3075" max="3075" width="13.140625" style="50" customWidth="1"/>
    <col min="3076" max="3076" width="58" style="50" customWidth="1"/>
    <col min="3077" max="3077" width="25" style="50" customWidth="1"/>
    <col min="3078" max="3078" width="20.7109375" style="50" customWidth="1"/>
    <col min="3079" max="3079" width="25" style="50" customWidth="1"/>
    <col min="3080" max="3314" width="9.140625" style="50" customWidth="1"/>
    <col min="3315" max="3315" width="6" style="50" customWidth="1"/>
    <col min="3316" max="3316" width="50.28515625" style="50" customWidth="1"/>
    <col min="3317" max="3318" width="0" style="50" hidden="1" customWidth="1"/>
    <col min="3319" max="3319" width="20.7109375" style="50" customWidth="1"/>
    <col min="3320" max="3320" width="23.28515625" style="50" customWidth="1"/>
    <col min="3321" max="3330" width="23.28515625" style="50"/>
    <col min="3331" max="3331" width="13.140625" style="50" customWidth="1"/>
    <col min="3332" max="3332" width="58" style="50" customWidth="1"/>
    <col min="3333" max="3333" width="25" style="50" customWidth="1"/>
    <col min="3334" max="3334" width="20.7109375" style="50" customWidth="1"/>
    <col min="3335" max="3335" width="25" style="50" customWidth="1"/>
    <col min="3336" max="3570" width="9.140625" style="50" customWidth="1"/>
    <col min="3571" max="3571" width="6" style="50" customWidth="1"/>
    <col min="3572" max="3572" width="50.28515625" style="50" customWidth="1"/>
    <col min="3573" max="3574" width="0" style="50" hidden="1" customWidth="1"/>
    <col min="3575" max="3575" width="20.7109375" style="50" customWidth="1"/>
    <col min="3576" max="3576" width="23.28515625" style="50" customWidth="1"/>
    <col min="3577" max="3586" width="23.28515625" style="50"/>
    <col min="3587" max="3587" width="13.140625" style="50" customWidth="1"/>
    <col min="3588" max="3588" width="58" style="50" customWidth="1"/>
    <col min="3589" max="3589" width="25" style="50" customWidth="1"/>
    <col min="3590" max="3590" width="20.7109375" style="50" customWidth="1"/>
    <col min="3591" max="3591" width="25" style="50" customWidth="1"/>
    <col min="3592" max="3826" width="9.140625" style="50" customWidth="1"/>
    <col min="3827" max="3827" width="6" style="50" customWidth="1"/>
    <col min="3828" max="3828" width="50.28515625" style="50" customWidth="1"/>
    <col min="3829" max="3830" width="0" style="50" hidden="1" customWidth="1"/>
    <col min="3831" max="3831" width="20.7109375" style="50" customWidth="1"/>
    <col min="3832" max="3832" width="23.28515625" style="50" customWidth="1"/>
    <col min="3833" max="3842" width="23.28515625" style="50"/>
    <col min="3843" max="3843" width="13.140625" style="50" customWidth="1"/>
    <col min="3844" max="3844" width="58" style="50" customWidth="1"/>
    <col min="3845" max="3845" width="25" style="50" customWidth="1"/>
    <col min="3846" max="3846" width="20.7109375" style="50" customWidth="1"/>
    <col min="3847" max="3847" width="25" style="50" customWidth="1"/>
    <col min="3848" max="4082" width="9.140625" style="50" customWidth="1"/>
    <col min="4083" max="4083" width="6" style="50" customWidth="1"/>
    <col min="4084" max="4084" width="50.28515625" style="50" customWidth="1"/>
    <col min="4085" max="4086" width="0" style="50" hidden="1" customWidth="1"/>
    <col min="4087" max="4087" width="20.7109375" style="50" customWidth="1"/>
    <col min="4088" max="4088" width="23.28515625" style="50" customWidth="1"/>
    <col min="4089" max="4098" width="23.28515625" style="50"/>
    <col min="4099" max="4099" width="13.140625" style="50" customWidth="1"/>
    <col min="4100" max="4100" width="58" style="50" customWidth="1"/>
    <col min="4101" max="4101" width="25" style="50" customWidth="1"/>
    <col min="4102" max="4102" width="20.7109375" style="50" customWidth="1"/>
    <col min="4103" max="4103" width="25" style="50" customWidth="1"/>
    <col min="4104" max="4338" width="9.140625" style="50" customWidth="1"/>
    <col min="4339" max="4339" width="6" style="50" customWidth="1"/>
    <col min="4340" max="4340" width="50.28515625" style="50" customWidth="1"/>
    <col min="4341" max="4342" width="0" style="50" hidden="1" customWidth="1"/>
    <col min="4343" max="4343" width="20.7109375" style="50" customWidth="1"/>
    <col min="4344" max="4344" width="23.28515625" style="50" customWidth="1"/>
    <col min="4345" max="4354" width="23.28515625" style="50"/>
    <col min="4355" max="4355" width="13.140625" style="50" customWidth="1"/>
    <col min="4356" max="4356" width="58" style="50" customWidth="1"/>
    <col min="4357" max="4357" width="25" style="50" customWidth="1"/>
    <col min="4358" max="4358" width="20.7109375" style="50" customWidth="1"/>
    <col min="4359" max="4359" width="25" style="50" customWidth="1"/>
    <col min="4360" max="4594" width="9.140625" style="50" customWidth="1"/>
    <col min="4595" max="4595" width="6" style="50" customWidth="1"/>
    <col min="4596" max="4596" width="50.28515625" style="50" customWidth="1"/>
    <col min="4597" max="4598" width="0" style="50" hidden="1" customWidth="1"/>
    <col min="4599" max="4599" width="20.7109375" style="50" customWidth="1"/>
    <col min="4600" max="4600" width="23.28515625" style="50" customWidth="1"/>
    <col min="4601" max="4610" width="23.28515625" style="50"/>
    <col min="4611" max="4611" width="13.140625" style="50" customWidth="1"/>
    <col min="4612" max="4612" width="58" style="50" customWidth="1"/>
    <col min="4613" max="4613" width="25" style="50" customWidth="1"/>
    <col min="4614" max="4614" width="20.7109375" style="50" customWidth="1"/>
    <col min="4615" max="4615" width="25" style="50" customWidth="1"/>
    <col min="4616" max="4850" width="9.140625" style="50" customWidth="1"/>
    <col min="4851" max="4851" width="6" style="50" customWidth="1"/>
    <col min="4852" max="4852" width="50.28515625" style="50" customWidth="1"/>
    <col min="4853" max="4854" width="0" style="50" hidden="1" customWidth="1"/>
    <col min="4855" max="4855" width="20.7109375" style="50" customWidth="1"/>
    <col min="4856" max="4856" width="23.28515625" style="50" customWidth="1"/>
    <col min="4857" max="4866" width="23.28515625" style="50"/>
    <col min="4867" max="4867" width="13.140625" style="50" customWidth="1"/>
    <col min="4868" max="4868" width="58" style="50" customWidth="1"/>
    <col min="4869" max="4869" width="25" style="50" customWidth="1"/>
    <col min="4870" max="4870" width="20.7109375" style="50" customWidth="1"/>
    <col min="4871" max="4871" width="25" style="50" customWidth="1"/>
    <col min="4872" max="5106" width="9.140625" style="50" customWidth="1"/>
    <col min="5107" max="5107" width="6" style="50" customWidth="1"/>
    <col min="5108" max="5108" width="50.28515625" style="50" customWidth="1"/>
    <col min="5109" max="5110" width="0" style="50" hidden="1" customWidth="1"/>
    <col min="5111" max="5111" width="20.7109375" style="50" customWidth="1"/>
    <col min="5112" max="5112" width="23.28515625" style="50" customWidth="1"/>
    <col min="5113" max="5122" width="23.28515625" style="50"/>
    <col min="5123" max="5123" width="13.140625" style="50" customWidth="1"/>
    <col min="5124" max="5124" width="58" style="50" customWidth="1"/>
    <col min="5125" max="5125" width="25" style="50" customWidth="1"/>
    <col min="5126" max="5126" width="20.7109375" style="50" customWidth="1"/>
    <col min="5127" max="5127" width="25" style="50" customWidth="1"/>
    <col min="5128" max="5362" width="9.140625" style="50" customWidth="1"/>
    <col min="5363" max="5363" width="6" style="50" customWidth="1"/>
    <col min="5364" max="5364" width="50.28515625" style="50" customWidth="1"/>
    <col min="5365" max="5366" width="0" style="50" hidden="1" customWidth="1"/>
    <col min="5367" max="5367" width="20.7109375" style="50" customWidth="1"/>
    <col min="5368" max="5368" width="23.28515625" style="50" customWidth="1"/>
    <col min="5369" max="5378" width="23.28515625" style="50"/>
    <col min="5379" max="5379" width="13.140625" style="50" customWidth="1"/>
    <col min="5380" max="5380" width="58" style="50" customWidth="1"/>
    <col min="5381" max="5381" width="25" style="50" customWidth="1"/>
    <col min="5382" max="5382" width="20.7109375" style="50" customWidth="1"/>
    <col min="5383" max="5383" width="25" style="50" customWidth="1"/>
    <col min="5384" max="5618" width="9.140625" style="50" customWidth="1"/>
    <col min="5619" max="5619" width="6" style="50" customWidth="1"/>
    <col min="5620" max="5620" width="50.28515625" style="50" customWidth="1"/>
    <col min="5621" max="5622" width="0" style="50" hidden="1" customWidth="1"/>
    <col min="5623" max="5623" width="20.7109375" style="50" customWidth="1"/>
    <col min="5624" max="5624" width="23.28515625" style="50" customWidth="1"/>
    <col min="5625" max="5634" width="23.28515625" style="50"/>
    <col min="5635" max="5635" width="13.140625" style="50" customWidth="1"/>
    <col min="5636" max="5636" width="58" style="50" customWidth="1"/>
    <col min="5637" max="5637" width="25" style="50" customWidth="1"/>
    <col min="5638" max="5638" width="20.7109375" style="50" customWidth="1"/>
    <col min="5639" max="5639" width="25" style="50" customWidth="1"/>
    <col min="5640" max="5874" width="9.140625" style="50" customWidth="1"/>
    <col min="5875" max="5875" width="6" style="50" customWidth="1"/>
    <col min="5876" max="5876" width="50.28515625" style="50" customWidth="1"/>
    <col min="5877" max="5878" width="0" style="50" hidden="1" customWidth="1"/>
    <col min="5879" max="5879" width="20.7109375" style="50" customWidth="1"/>
    <col min="5880" max="5880" width="23.28515625" style="50" customWidth="1"/>
    <col min="5881" max="5890" width="23.28515625" style="50"/>
    <col min="5891" max="5891" width="13.140625" style="50" customWidth="1"/>
    <col min="5892" max="5892" width="58" style="50" customWidth="1"/>
    <col min="5893" max="5893" width="25" style="50" customWidth="1"/>
    <col min="5894" max="5894" width="20.7109375" style="50" customWidth="1"/>
    <col min="5895" max="5895" width="25" style="50" customWidth="1"/>
    <col min="5896" max="6130" width="9.140625" style="50" customWidth="1"/>
    <col min="6131" max="6131" width="6" style="50" customWidth="1"/>
    <col min="6132" max="6132" width="50.28515625" style="50" customWidth="1"/>
    <col min="6133" max="6134" width="0" style="50" hidden="1" customWidth="1"/>
    <col min="6135" max="6135" width="20.7109375" style="50" customWidth="1"/>
    <col min="6136" max="6136" width="23.28515625" style="50" customWidth="1"/>
    <col min="6137" max="6146" width="23.28515625" style="50"/>
    <col min="6147" max="6147" width="13.140625" style="50" customWidth="1"/>
    <col min="6148" max="6148" width="58" style="50" customWidth="1"/>
    <col min="6149" max="6149" width="25" style="50" customWidth="1"/>
    <col min="6150" max="6150" width="20.7109375" style="50" customWidth="1"/>
    <col min="6151" max="6151" width="25" style="50" customWidth="1"/>
    <col min="6152" max="6386" width="9.140625" style="50" customWidth="1"/>
    <col min="6387" max="6387" width="6" style="50" customWidth="1"/>
    <col min="6388" max="6388" width="50.28515625" style="50" customWidth="1"/>
    <col min="6389" max="6390" width="0" style="50" hidden="1" customWidth="1"/>
    <col min="6391" max="6391" width="20.7109375" style="50" customWidth="1"/>
    <col min="6392" max="6392" width="23.28515625" style="50" customWidth="1"/>
    <col min="6393" max="6402" width="23.28515625" style="50"/>
    <col min="6403" max="6403" width="13.140625" style="50" customWidth="1"/>
    <col min="6404" max="6404" width="58" style="50" customWidth="1"/>
    <col min="6405" max="6405" width="25" style="50" customWidth="1"/>
    <col min="6406" max="6406" width="20.7109375" style="50" customWidth="1"/>
    <col min="6407" max="6407" width="25" style="50" customWidth="1"/>
    <col min="6408" max="6642" width="9.140625" style="50" customWidth="1"/>
    <col min="6643" max="6643" width="6" style="50" customWidth="1"/>
    <col min="6644" max="6644" width="50.28515625" style="50" customWidth="1"/>
    <col min="6645" max="6646" width="0" style="50" hidden="1" customWidth="1"/>
    <col min="6647" max="6647" width="20.7109375" style="50" customWidth="1"/>
    <col min="6648" max="6648" width="23.28515625" style="50" customWidth="1"/>
    <col min="6649" max="6658" width="23.28515625" style="50"/>
    <col min="6659" max="6659" width="13.140625" style="50" customWidth="1"/>
    <col min="6660" max="6660" width="58" style="50" customWidth="1"/>
    <col min="6661" max="6661" width="25" style="50" customWidth="1"/>
    <col min="6662" max="6662" width="20.7109375" style="50" customWidth="1"/>
    <col min="6663" max="6663" width="25" style="50" customWidth="1"/>
    <col min="6664" max="6898" width="9.140625" style="50" customWidth="1"/>
    <col min="6899" max="6899" width="6" style="50" customWidth="1"/>
    <col min="6900" max="6900" width="50.28515625" style="50" customWidth="1"/>
    <col min="6901" max="6902" width="0" style="50" hidden="1" customWidth="1"/>
    <col min="6903" max="6903" width="20.7109375" style="50" customWidth="1"/>
    <col min="6904" max="6904" width="23.28515625" style="50" customWidth="1"/>
    <col min="6905" max="6914" width="23.28515625" style="50"/>
    <col min="6915" max="6915" width="13.140625" style="50" customWidth="1"/>
    <col min="6916" max="6916" width="58" style="50" customWidth="1"/>
    <col min="6917" max="6917" width="25" style="50" customWidth="1"/>
    <col min="6918" max="6918" width="20.7109375" style="50" customWidth="1"/>
    <col min="6919" max="6919" width="25" style="50" customWidth="1"/>
    <col min="6920" max="7154" width="9.140625" style="50" customWidth="1"/>
    <col min="7155" max="7155" width="6" style="50" customWidth="1"/>
    <col min="7156" max="7156" width="50.28515625" style="50" customWidth="1"/>
    <col min="7157" max="7158" width="0" style="50" hidden="1" customWidth="1"/>
    <col min="7159" max="7159" width="20.7109375" style="50" customWidth="1"/>
    <col min="7160" max="7160" width="23.28515625" style="50" customWidth="1"/>
    <col min="7161" max="7170" width="23.28515625" style="50"/>
    <col min="7171" max="7171" width="13.140625" style="50" customWidth="1"/>
    <col min="7172" max="7172" width="58" style="50" customWidth="1"/>
    <col min="7173" max="7173" width="25" style="50" customWidth="1"/>
    <col min="7174" max="7174" width="20.7109375" style="50" customWidth="1"/>
    <col min="7175" max="7175" width="25" style="50" customWidth="1"/>
    <col min="7176" max="7410" width="9.140625" style="50" customWidth="1"/>
    <col min="7411" max="7411" width="6" style="50" customWidth="1"/>
    <col min="7412" max="7412" width="50.28515625" style="50" customWidth="1"/>
    <col min="7413" max="7414" width="0" style="50" hidden="1" customWidth="1"/>
    <col min="7415" max="7415" width="20.7109375" style="50" customWidth="1"/>
    <col min="7416" max="7416" width="23.28515625" style="50" customWidth="1"/>
    <col min="7417" max="7426" width="23.28515625" style="50"/>
    <col min="7427" max="7427" width="13.140625" style="50" customWidth="1"/>
    <col min="7428" max="7428" width="58" style="50" customWidth="1"/>
    <col min="7429" max="7429" width="25" style="50" customWidth="1"/>
    <col min="7430" max="7430" width="20.7109375" style="50" customWidth="1"/>
    <col min="7431" max="7431" width="25" style="50" customWidth="1"/>
    <col min="7432" max="7666" width="9.140625" style="50" customWidth="1"/>
    <col min="7667" max="7667" width="6" style="50" customWidth="1"/>
    <col min="7668" max="7668" width="50.28515625" style="50" customWidth="1"/>
    <col min="7669" max="7670" width="0" style="50" hidden="1" customWidth="1"/>
    <col min="7671" max="7671" width="20.7109375" style="50" customWidth="1"/>
    <col min="7672" max="7672" width="23.28515625" style="50" customWidth="1"/>
    <col min="7673" max="7682" width="23.28515625" style="50"/>
    <col min="7683" max="7683" width="13.140625" style="50" customWidth="1"/>
    <col min="7684" max="7684" width="58" style="50" customWidth="1"/>
    <col min="7685" max="7685" width="25" style="50" customWidth="1"/>
    <col min="7686" max="7686" width="20.7109375" style="50" customWidth="1"/>
    <col min="7687" max="7687" width="25" style="50" customWidth="1"/>
    <col min="7688" max="7922" width="9.140625" style="50" customWidth="1"/>
    <col min="7923" max="7923" width="6" style="50" customWidth="1"/>
    <col min="7924" max="7924" width="50.28515625" style="50" customWidth="1"/>
    <col min="7925" max="7926" width="0" style="50" hidden="1" customWidth="1"/>
    <col min="7927" max="7927" width="20.7109375" style="50" customWidth="1"/>
    <col min="7928" max="7928" width="23.28515625" style="50" customWidth="1"/>
    <col min="7929" max="7938" width="23.28515625" style="50"/>
    <col min="7939" max="7939" width="13.140625" style="50" customWidth="1"/>
    <col min="7940" max="7940" width="58" style="50" customWidth="1"/>
    <col min="7941" max="7941" width="25" style="50" customWidth="1"/>
    <col min="7942" max="7942" width="20.7109375" style="50" customWidth="1"/>
    <col min="7943" max="7943" width="25" style="50" customWidth="1"/>
    <col min="7944" max="8178" width="9.140625" style="50" customWidth="1"/>
    <col min="8179" max="8179" width="6" style="50" customWidth="1"/>
    <col min="8180" max="8180" width="50.28515625" style="50" customWidth="1"/>
    <col min="8181" max="8182" width="0" style="50" hidden="1" customWidth="1"/>
    <col min="8183" max="8183" width="20.7109375" style="50" customWidth="1"/>
    <col min="8184" max="8184" width="23.28515625" style="50" customWidth="1"/>
    <col min="8185" max="8194" width="23.28515625" style="50"/>
    <col min="8195" max="8195" width="13.140625" style="50" customWidth="1"/>
    <col min="8196" max="8196" width="58" style="50" customWidth="1"/>
    <col min="8197" max="8197" width="25" style="50" customWidth="1"/>
    <col min="8198" max="8198" width="20.7109375" style="50" customWidth="1"/>
    <col min="8199" max="8199" width="25" style="50" customWidth="1"/>
    <col min="8200" max="8434" width="9.140625" style="50" customWidth="1"/>
    <col min="8435" max="8435" width="6" style="50" customWidth="1"/>
    <col min="8436" max="8436" width="50.28515625" style="50" customWidth="1"/>
    <col min="8437" max="8438" width="0" style="50" hidden="1" customWidth="1"/>
    <col min="8439" max="8439" width="20.7109375" style="50" customWidth="1"/>
    <col min="8440" max="8440" width="23.28515625" style="50" customWidth="1"/>
    <col min="8441" max="8450" width="23.28515625" style="50"/>
    <col min="8451" max="8451" width="13.140625" style="50" customWidth="1"/>
    <col min="8452" max="8452" width="58" style="50" customWidth="1"/>
    <col min="8453" max="8453" width="25" style="50" customWidth="1"/>
    <col min="8454" max="8454" width="20.7109375" style="50" customWidth="1"/>
    <col min="8455" max="8455" width="25" style="50" customWidth="1"/>
    <col min="8456" max="8690" width="9.140625" style="50" customWidth="1"/>
    <col min="8691" max="8691" width="6" style="50" customWidth="1"/>
    <col min="8692" max="8692" width="50.28515625" style="50" customWidth="1"/>
    <col min="8693" max="8694" width="0" style="50" hidden="1" customWidth="1"/>
    <col min="8695" max="8695" width="20.7109375" style="50" customWidth="1"/>
    <col min="8696" max="8696" width="23.28515625" style="50" customWidth="1"/>
    <col min="8697" max="8706" width="23.28515625" style="50"/>
    <col min="8707" max="8707" width="13.140625" style="50" customWidth="1"/>
    <col min="8708" max="8708" width="58" style="50" customWidth="1"/>
    <col min="8709" max="8709" width="25" style="50" customWidth="1"/>
    <col min="8710" max="8710" width="20.7109375" style="50" customWidth="1"/>
    <col min="8711" max="8711" width="25" style="50" customWidth="1"/>
    <col min="8712" max="8946" width="9.140625" style="50" customWidth="1"/>
    <col min="8947" max="8947" width="6" style="50" customWidth="1"/>
    <col min="8948" max="8948" width="50.28515625" style="50" customWidth="1"/>
    <col min="8949" max="8950" width="0" style="50" hidden="1" customWidth="1"/>
    <col min="8951" max="8951" width="20.7109375" style="50" customWidth="1"/>
    <col min="8952" max="8952" width="23.28515625" style="50" customWidth="1"/>
    <col min="8953" max="8962" width="23.28515625" style="50"/>
    <col min="8963" max="8963" width="13.140625" style="50" customWidth="1"/>
    <col min="8964" max="8964" width="58" style="50" customWidth="1"/>
    <col min="8965" max="8965" width="25" style="50" customWidth="1"/>
    <col min="8966" max="8966" width="20.7109375" style="50" customWidth="1"/>
    <col min="8967" max="8967" width="25" style="50" customWidth="1"/>
    <col min="8968" max="9202" width="9.140625" style="50" customWidth="1"/>
    <col min="9203" max="9203" width="6" style="50" customWidth="1"/>
    <col min="9204" max="9204" width="50.28515625" style="50" customWidth="1"/>
    <col min="9205" max="9206" width="0" style="50" hidden="1" customWidth="1"/>
    <col min="9207" max="9207" width="20.7109375" style="50" customWidth="1"/>
    <col min="9208" max="9208" width="23.28515625" style="50" customWidth="1"/>
    <col min="9209" max="9218" width="23.28515625" style="50"/>
    <col min="9219" max="9219" width="13.140625" style="50" customWidth="1"/>
    <col min="9220" max="9220" width="58" style="50" customWidth="1"/>
    <col min="9221" max="9221" width="25" style="50" customWidth="1"/>
    <col min="9222" max="9222" width="20.7109375" style="50" customWidth="1"/>
    <col min="9223" max="9223" width="25" style="50" customWidth="1"/>
    <col min="9224" max="9458" width="9.140625" style="50" customWidth="1"/>
    <col min="9459" max="9459" width="6" style="50" customWidth="1"/>
    <col min="9460" max="9460" width="50.28515625" style="50" customWidth="1"/>
    <col min="9461" max="9462" width="0" style="50" hidden="1" customWidth="1"/>
    <col min="9463" max="9463" width="20.7109375" style="50" customWidth="1"/>
    <col min="9464" max="9464" width="23.28515625" style="50" customWidth="1"/>
    <col min="9465" max="9474" width="23.28515625" style="50"/>
    <col min="9475" max="9475" width="13.140625" style="50" customWidth="1"/>
    <col min="9476" max="9476" width="58" style="50" customWidth="1"/>
    <col min="9477" max="9477" width="25" style="50" customWidth="1"/>
    <col min="9478" max="9478" width="20.7109375" style="50" customWidth="1"/>
    <col min="9479" max="9479" width="25" style="50" customWidth="1"/>
    <col min="9480" max="9714" width="9.140625" style="50" customWidth="1"/>
    <col min="9715" max="9715" width="6" style="50" customWidth="1"/>
    <col min="9716" max="9716" width="50.28515625" style="50" customWidth="1"/>
    <col min="9717" max="9718" width="0" style="50" hidden="1" customWidth="1"/>
    <col min="9719" max="9719" width="20.7109375" style="50" customWidth="1"/>
    <col min="9720" max="9720" width="23.28515625" style="50" customWidth="1"/>
    <col min="9721" max="9730" width="23.28515625" style="50"/>
    <col min="9731" max="9731" width="13.140625" style="50" customWidth="1"/>
    <col min="9732" max="9732" width="58" style="50" customWidth="1"/>
    <col min="9733" max="9733" width="25" style="50" customWidth="1"/>
    <col min="9734" max="9734" width="20.7109375" style="50" customWidth="1"/>
    <col min="9735" max="9735" width="25" style="50" customWidth="1"/>
    <col min="9736" max="9970" width="9.140625" style="50" customWidth="1"/>
    <col min="9971" max="9971" width="6" style="50" customWidth="1"/>
    <col min="9972" max="9972" width="50.28515625" style="50" customWidth="1"/>
    <col min="9973" max="9974" width="0" style="50" hidden="1" customWidth="1"/>
    <col min="9975" max="9975" width="20.7109375" style="50" customWidth="1"/>
    <col min="9976" max="9976" width="23.28515625" style="50" customWidth="1"/>
    <col min="9977" max="9986" width="23.28515625" style="50"/>
    <col min="9987" max="9987" width="13.140625" style="50" customWidth="1"/>
    <col min="9988" max="9988" width="58" style="50" customWidth="1"/>
    <col min="9989" max="9989" width="25" style="50" customWidth="1"/>
    <col min="9990" max="9990" width="20.7109375" style="50" customWidth="1"/>
    <col min="9991" max="9991" width="25" style="50" customWidth="1"/>
    <col min="9992" max="10226" width="9.140625" style="50" customWidth="1"/>
    <col min="10227" max="10227" width="6" style="50" customWidth="1"/>
    <col min="10228" max="10228" width="50.28515625" style="50" customWidth="1"/>
    <col min="10229" max="10230" width="0" style="50" hidden="1" customWidth="1"/>
    <col min="10231" max="10231" width="20.7109375" style="50" customWidth="1"/>
    <col min="10232" max="10232" width="23.28515625" style="50" customWidth="1"/>
    <col min="10233" max="10242" width="23.28515625" style="50"/>
    <col min="10243" max="10243" width="13.140625" style="50" customWidth="1"/>
    <col min="10244" max="10244" width="58" style="50" customWidth="1"/>
    <col min="10245" max="10245" width="25" style="50" customWidth="1"/>
    <col min="10246" max="10246" width="20.7109375" style="50" customWidth="1"/>
    <col min="10247" max="10247" width="25" style="50" customWidth="1"/>
    <col min="10248" max="10482" width="9.140625" style="50" customWidth="1"/>
    <col min="10483" max="10483" width="6" style="50" customWidth="1"/>
    <col min="10484" max="10484" width="50.28515625" style="50" customWidth="1"/>
    <col min="10485" max="10486" width="0" style="50" hidden="1" customWidth="1"/>
    <col min="10487" max="10487" width="20.7109375" style="50" customWidth="1"/>
    <col min="10488" max="10488" width="23.28515625" style="50" customWidth="1"/>
    <col min="10489" max="10498" width="23.28515625" style="50"/>
    <col min="10499" max="10499" width="13.140625" style="50" customWidth="1"/>
    <col min="10500" max="10500" width="58" style="50" customWidth="1"/>
    <col min="10501" max="10501" width="25" style="50" customWidth="1"/>
    <col min="10502" max="10502" width="20.7109375" style="50" customWidth="1"/>
    <col min="10503" max="10503" width="25" style="50" customWidth="1"/>
    <col min="10504" max="10738" width="9.140625" style="50" customWidth="1"/>
    <col min="10739" max="10739" width="6" style="50" customWidth="1"/>
    <col min="10740" max="10740" width="50.28515625" style="50" customWidth="1"/>
    <col min="10741" max="10742" width="0" style="50" hidden="1" customWidth="1"/>
    <col min="10743" max="10743" width="20.7109375" style="50" customWidth="1"/>
    <col min="10744" max="10744" width="23.28515625" style="50" customWidth="1"/>
    <col min="10745" max="10754" width="23.28515625" style="50"/>
    <col min="10755" max="10755" width="13.140625" style="50" customWidth="1"/>
    <col min="10756" max="10756" width="58" style="50" customWidth="1"/>
    <col min="10757" max="10757" width="25" style="50" customWidth="1"/>
    <col min="10758" max="10758" width="20.7109375" style="50" customWidth="1"/>
    <col min="10759" max="10759" width="25" style="50" customWidth="1"/>
    <col min="10760" max="10994" width="9.140625" style="50" customWidth="1"/>
    <col min="10995" max="10995" width="6" style="50" customWidth="1"/>
    <col min="10996" max="10996" width="50.28515625" style="50" customWidth="1"/>
    <col min="10997" max="10998" width="0" style="50" hidden="1" customWidth="1"/>
    <col min="10999" max="10999" width="20.7109375" style="50" customWidth="1"/>
    <col min="11000" max="11000" width="23.28515625" style="50" customWidth="1"/>
    <col min="11001" max="11010" width="23.28515625" style="50"/>
    <col min="11011" max="11011" width="13.140625" style="50" customWidth="1"/>
    <col min="11012" max="11012" width="58" style="50" customWidth="1"/>
    <col min="11013" max="11013" width="25" style="50" customWidth="1"/>
    <col min="11014" max="11014" width="20.7109375" style="50" customWidth="1"/>
    <col min="11015" max="11015" width="25" style="50" customWidth="1"/>
    <col min="11016" max="11250" width="9.140625" style="50" customWidth="1"/>
    <col min="11251" max="11251" width="6" style="50" customWidth="1"/>
    <col min="11252" max="11252" width="50.28515625" style="50" customWidth="1"/>
    <col min="11253" max="11254" width="0" style="50" hidden="1" customWidth="1"/>
    <col min="11255" max="11255" width="20.7109375" style="50" customWidth="1"/>
    <col min="11256" max="11256" width="23.28515625" style="50" customWidth="1"/>
    <col min="11257" max="11266" width="23.28515625" style="50"/>
    <col min="11267" max="11267" width="13.140625" style="50" customWidth="1"/>
    <col min="11268" max="11268" width="58" style="50" customWidth="1"/>
    <col min="11269" max="11269" width="25" style="50" customWidth="1"/>
    <col min="11270" max="11270" width="20.7109375" style="50" customWidth="1"/>
    <col min="11271" max="11271" width="25" style="50" customWidth="1"/>
    <col min="11272" max="11506" width="9.140625" style="50" customWidth="1"/>
    <col min="11507" max="11507" width="6" style="50" customWidth="1"/>
    <col min="11508" max="11508" width="50.28515625" style="50" customWidth="1"/>
    <col min="11509" max="11510" width="0" style="50" hidden="1" customWidth="1"/>
    <col min="11511" max="11511" width="20.7109375" style="50" customWidth="1"/>
    <col min="11512" max="11512" width="23.28515625" style="50" customWidth="1"/>
    <col min="11513" max="11522" width="23.28515625" style="50"/>
    <col min="11523" max="11523" width="13.140625" style="50" customWidth="1"/>
    <col min="11524" max="11524" width="58" style="50" customWidth="1"/>
    <col min="11525" max="11525" width="25" style="50" customWidth="1"/>
    <col min="11526" max="11526" width="20.7109375" style="50" customWidth="1"/>
    <col min="11527" max="11527" width="25" style="50" customWidth="1"/>
    <col min="11528" max="11762" width="9.140625" style="50" customWidth="1"/>
    <col min="11763" max="11763" width="6" style="50" customWidth="1"/>
    <col min="11764" max="11764" width="50.28515625" style="50" customWidth="1"/>
    <col min="11765" max="11766" width="0" style="50" hidden="1" customWidth="1"/>
    <col min="11767" max="11767" width="20.7109375" style="50" customWidth="1"/>
    <col min="11768" max="11768" width="23.28515625" style="50" customWidth="1"/>
    <col min="11769" max="11778" width="23.28515625" style="50"/>
    <col min="11779" max="11779" width="13.140625" style="50" customWidth="1"/>
    <col min="11780" max="11780" width="58" style="50" customWidth="1"/>
    <col min="11781" max="11781" width="25" style="50" customWidth="1"/>
    <col min="11782" max="11782" width="20.7109375" style="50" customWidth="1"/>
    <col min="11783" max="11783" width="25" style="50" customWidth="1"/>
    <col min="11784" max="12018" width="9.140625" style="50" customWidth="1"/>
    <col min="12019" max="12019" width="6" style="50" customWidth="1"/>
    <col min="12020" max="12020" width="50.28515625" style="50" customWidth="1"/>
    <col min="12021" max="12022" width="0" style="50" hidden="1" customWidth="1"/>
    <col min="12023" max="12023" width="20.7109375" style="50" customWidth="1"/>
    <col min="12024" max="12024" width="23.28515625" style="50" customWidth="1"/>
    <col min="12025" max="12034" width="23.28515625" style="50"/>
    <col min="12035" max="12035" width="13.140625" style="50" customWidth="1"/>
    <col min="12036" max="12036" width="58" style="50" customWidth="1"/>
    <col min="12037" max="12037" width="25" style="50" customWidth="1"/>
    <col min="12038" max="12038" width="20.7109375" style="50" customWidth="1"/>
    <col min="12039" max="12039" width="25" style="50" customWidth="1"/>
    <col min="12040" max="12274" width="9.140625" style="50" customWidth="1"/>
    <col min="12275" max="12275" width="6" style="50" customWidth="1"/>
    <col min="12276" max="12276" width="50.28515625" style="50" customWidth="1"/>
    <col min="12277" max="12278" width="0" style="50" hidden="1" customWidth="1"/>
    <col min="12279" max="12279" width="20.7109375" style="50" customWidth="1"/>
    <col min="12280" max="12280" width="23.28515625" style="50" customWidth="1"/>
    <col min="12281" max="12290" width="23.28515625" style="50"/>
    <col min="12291" max="12291" width="13.140625" style="50" customWidth="1"/>
    <col min="12292" max="12292" width="58" style="50" customWidth="1"/>
    <col min="12293" max="12293" width="25" style="50" customWidth="1"/>
    <col min="12294" max="12294" width="20.7109375" style="50" customWidth="1"/>
    <col min="12295" max="12295" width="25" style="50" customWidth="1"/>
    <col min="12296" max="12530" width="9.140625" style="50" customWidth="1"/>
    <col min="12531" max="12531" width="6" style="50" customWidth="1"/>
    <col min="12532" max="12532" width="50.28515625" style="50" customWidth="1"/>
    <col min="12533" max="12534" width="0" style="50" hidden="1" customWidth="1"/>
    <col min="12535" max="12535" width="20.7109375" style="50" customWidth="1"/>
    <col min="12536" max="12536" width="23.28515625" style="50" customWidth="1"/>
    <col min="12537" max="12546" width="23.28515625" style="50"/>
    <col min="12547" max="12547" width="13.140625" style="50" customWidth="1"/>
    <col min="12548" max="12548" width="58" style="50" customWidth="1"/>
    <col min="12549" max="12549" width="25" style="50" customWidth="1"/>
    <col min="12550" max="12550" width="20.7109375" style="50" customWidth="1"/>
    <col min="12551" max="12551" width="25" style="50" customWidth="1"/>
    <col min="12552" max="12786" width="9.140625" style="50" customWidth="1"/>
    <col min="12787" max="12787" width="6" style="50" customWidth="1"/>
    <col min="12788" max="12788" width="50.28515625" style="50" customWidth="1"/>
    <col min="12789" max="12790" width="0" style="50" hidden="1" customWidth="1"/>
    <col min="12791" max="12791" width="20.7109375" style="50" customWidth="1"/>
    <col min="12792" max="12792" width="23.28515625" style="50" customWidth="1"/>
    <col min="12793" max="12802" width="23.28515625" style="50"/>
    <col min="12803" max="12803" width="13.140625" style="50" customWidth="1"/>
    <col min="12804" max="12804" width="58" style="50" customWidth="1"/>
    <col min="12805" max="12805" width="25" style="50" customWidth="1"/>
    <col min="12806" max="12806" width="20.7109375" style="50" customWidth="1"/>
    <col min="12807" max="12807" width="25" style="50" customWidth="1"/>
    <col min="12808" max="13042" width="9.140625" style="50" customWidth="1"/>
    <col min="13043" max="13043" width="6" style="50" customWidth="1"/>
    <col min="13044" max="13044" width="50.28515625" style="50" customWidth="1"/>
    <col min="13045" max="13046" width="0" style="50" hidden="1" customWidth="1"/>
    <col min="13047" max="13047" width="20.7109375" style="50" customWidth="1"/>
    <col min="13048" max="13048" width="23.28515625" style="50" customWidth="1"/>
    <col min="13049" max="13058" width="23.28515625" style="50"/>
    <col min="13059" max="13059" width="13.140625" style="50" customWidth="1"/>
    <col min="13060" max="13060" width="58" style="50" customWidth="1"/>
    <col min="13061" max="13061" width="25" style="50" customWidth="1"/>
    <col min="13062" max="13062" width="20.7109375" style="50" customWidth="1"/>
    <col min="13063" max="13063" width="25" style="50" customWidth="1"/>
    <col min="13064" max="13298" width="9.140625" style="50" customWidth="1"/>
    <col min="13299" max="13299" width="6" style="50" customWidth="1"/>
    <col min="13300" max="13300" width="50.28515625" style="50" customWidth="1"/>
    <col min="13301" max="13302" width="0" style="50" hidden="1" customWidth="1"/>
    <col min="13303" max="13303" width="20.7109375" style="50" customWidth="1"/>
    <col min="13304" max="13304" width="23.28515625" style="50" customWidth="1"/>
    <col min="13305" max="13314" width="23.28515625" style="50"/>
    <col min="13315" max="13315" width="13.140625" style="50" customWidth="1"/>
    <col min="13316" max="13316" width="58" style="50" customWidth="1"/>
    <col min="13317" max="13317" width="25" style="50" customWidth="1"/>
    <col min="13318" max="13318" width="20.7109375" style="50" customWidth="1"/>
    <col min="13319" max="13319" width="25" style="50" customWidth="1"/>
    <col min="13320" max="13554" width="9.140625" style="50" customWidth="1"/>
    <col min="13555" max="13555" width="6" style="50" customWidth="1"/>
    <col min="13556" max="13556" width="50.28515625" style="50" customWidth="1"/>
    <col min="13557" max="13558" width="0" style="50" hidden="1" customWidth="1"/>
    <col min="13559" max="13559" width="20.7109375" style="50" customWidth="1"/>
    <col min="13560" max="13560" width="23.28515625" style="50" customWidth="1"/>
    <col min="13561" max="13570" width="23.28515625" style="50"/>
    <col min="13571" max="13571" width="13.140625" style="50" customWidth="1"/>
    <col min="13572" max="13572" width="58" style="50" customWidth="1"/>
    <col min="13573" max="13573" width="25" style="50" customWidth="1"/>
    <col min="13574" max="13574" width="20.7109375" style="50" customWidth="1"/>
    <col min="13575" max="13575" width="25" style="50" customWidth="1"/>
    <col min="13576" max="13810" width="9.140625" style="50" customWidth="1"/>
    <col min="13811" max="13811" width="6" style="50" customWidth="1"/>
    <col min="13812" max="13812" width="50.28515625" style="50" customWidth="1"/>
    <col min="13813" max="13814" width="0" style="50" hidden="1" customWidth="1"/>
    <col min="13815" max="13815" width="20.7109375" style="50" customWidth="1"/>
    <col min="13816" max="13816" width="23.28515625" style="50" customWidth="1"/>
    <col min="13817" max="13826" width="23.28515625" style="50"/>
    <col min="13827" max="13827" width="13.140625" style="50" customWidth="1"/>
    <col min="13828" max="13828" width="58" style="50" customWidth="1"/>
    <col min="13829" max="13829" width="25" style="50" customWidth="1"/>
    <col min="13830" max="13830" width="20.7109375" style="50" customWidth="1"/>
    <col min="13831" max="13831" width="25" style="50" customWidth="1"/>
    <col min="13832" max="14066" width="9.140625" style="50" customWidth="1"/>
    <col min="14067" max="14067" width="6" style="50" customWidth="1"/>
    <col min="14068" max="14068" width="50.28515625" style="50" customWidth="1"/>
    <col min="14069" max="14070" width="0" style="50" hidden="1" customWidth="1"/>
    <col min="14071" max="14071" width="20.7109375" style="50" customWidth="1"/>
    <col min="14072" max="14072" width="23.28515625" style="50" customWidth="1"/>
    <col min="14073" max="14082" width="23.28515625" style="50"/>
    <col min="14083" max="14083" width="13.140625" style="50" customWidth="1"/>
    <col min="14084" max="14084" width="58" style="50" customWidth="1"/>
    <col min="14085" max="14085" width="25" style="50" customWidth="1"/>
    <col min="14086" max="14086" width="20.7109375" style="50" customWidth="1"/>
    <col min="14087" max="14087" width="25" style="50" customWidth="1"/>
    <col min="14088" max="14322" width="9.140625" style="50" customWidth="1"/>
    <col min="14323" max="14323" width="6" style="50" customWidth="1"/>
    <col min="14324" max="14324" width="50.28515625" style="50" customWidth="1"/>
    <col min="14325" max="14326" width="0" style="50" hidden="1" customWidth="1"/>
    <col min="14327" max="14327" width="20.7109375" style="50" customWidth="1"/>
    <col min="14328" max="14328" width="23.28515625" style="50" customWidth="1"/>
    <col min="14329" max="14338" width="23.28515625" style="50"/>
    <col min="14339" max="14339" width="13.140625" style="50" customWidth="1"/>
    <col min="14340" max="14340" width="58" style="50" customWidth="1"/>
    <col min="14341" max="14341" width="25" style="50" customWidth="1"/>
    <col min="14342" max="14342" width="20.7109375" style="50" customWidth="1"/>
    <col min="14343" max="14343" width="25" style="50" customWidth="1"/>
    <col min="14344" max="14578" width="9.140625" style="50" customWidth="1"/>
    <col min="14579" max="14579" width="6" style="50" customWidth="1"/>
    <col min="14580" max="14580" width="50.28515625" style="50" customWidth="1"/>
    <col min="14581" max="14582" width="0" style="50" hidden="1" customWidth="1"/>
    <col min="14583" max="14583" width="20.7109375" style="50" customWidth="1"/>
    <col min="14584" max="14584" width="23.28515625" style="50" customWidth="1"/>
    <col min="14585" max="14594" width="23.28515625" style="50"/>
    <col min="14595" max="14595" width="13.140625" style="50" customWidth="1"/>
    <col min="14596" max="14596" width="58" style="50" customWidth="1"/>
    <col min="14597" max="14597" width="25" style="50" customWidth="1"/>
    <col min="14598" max="14598" width="20.7109375" style="50" customWidth="1"/>
    <col min="14599" max="14599" width="25" style="50" customWidth="1"/>
    <col min="14600" max="14834" width="9.140625" style="50" customWidth="1"/>
    <col min="14835" max="14835" width="6" style="50" customWidth="1"/>
    <col min="14836" max="14836" width="50.28515625" style="50" customWidth="1"/>
    <col min="14837" max="14838" width="0" style="50" hidden="1" customWidth="1"/>
    <col min="14839" max="14839" width="20.7109375" style="50" customWidth="1"/>
    <col min="14840" max="14840" width="23.28515625" style="50" customWidth="1"/>
    <col min="14841" max="14850" width="23.28515625" style="50"/>
    <col min="14851" max="14851" width="13.140625" style="50" customWidth="1"/>
    <col min="14852" max="14852" width="58" style="50" customWidth="1"/>
    <col min="14853" max="14853" width="25" style="50" customWidth="1"/>
    <col min="14854" max="14854" width="20.7109375" style="50" customWidth="1"/>
    <col min="14855" max="14855" width="25" style="50" customWidth="1"/>
    <col min="14856" max="15090" width="9.140625" style="50" customWidth="1"/>
    <col min="15091" max="15091" width="6" style="50" customWidth="1"/>
    <col min="15092" max="15092" width="50.28515625" style="50" customWidth="1"/>
    <col min="15093" max="15094" width="0" style="50" hidden="1" customWidth="1"/>
    <col min="15095" max="15095" width="20.7109375" style="50" customWidth="1"/>
    <col min="15096" max="15096" width="23.28515625" style="50" customWidth="1"/>
    <col min="15097" max="15106" width="23.28515625" style="50"/>
    <col min="15107" max="15107" width="13.140625" style="50" customWidth="1"/>
    <col min="15108" max="15108" width="58" style="50" customWidth="1"/>
    <col min="15109" max="15109" width="25" style="50" customWidth="1"/>
    <col min="15110" max="15110" width="20.7109375" style="50" customWidth="1"/>
    <col min="15111" max="15111" width="25" style="50" customWidth="1"/>
    <col min="15112" max="15346" width="9.140625" style="50" customWidth="1"/>
    <col min="15347" max="15347" width="6" style="50" customWidth="1"/>
    <col min="15348" max="15348" width="50.28515625" style="50" customWidth="1"/>
    <col min="15349" max="15350" width="0" style="50" hidden="1" customWidth="1"/>
    <col min="15351" max="15351" width="20.7109375" style="50" customWidth="1"/>
    <col min="15352" max="15352" width="23.28515625" style="50" customWidth="1"/>
    <col min="15353" max="15362" width="23.28515625" style="50"/>
    <col min="15363" max="15363" width="13.140625" style="50" customWidth="1"/>
    <col min="15364" max="15364" width="58" style="50" customWidth="1"/>
    <col min="15365" max="15365" width="25" style="50" customWidth="1"/>
    <col min="15366" max="15366" width="20.7109375" style="50" customWidth="1"/>
    <col min="15367" max="15367" width="25" style="50" customWidth="1"/>
    <col min="15368" max="15602" width="9.140625" style="50" customWidth="1"/>
    <col min="15603" max="15603" width="6" style="50" customWidth="1"/>
    <col min="15604" max="15604" width="50.28515625" style="50" customWidth="1"/>
    <col min="15605" max="15606" width="0" style="50" hidden="1" customWidth="1"/>
    <col min="15607" max="15607" width="20.7109375" style="50" customWidth="1"/>
    <col min="15608" max="15608" width="23.28515625" style="50" customWidth="1"/>
    <col min="15609" max="15618" width="23.28515625" style="50"/>
    <col min="15619" max="15619" width="13.140625" style="50" customWidth="1"/>
    <col min="15620" max="15620" width="58" style="50" customWidth="1"/>
    <col min="15621" max="15621" width="25" style="50" customWidth="1"/>
    <col min="15622" max="15622" width="20.7109375" style="50" customWidth="1"/>
    <col min="15623" max="15623" width="25" style="50" customWidth="1"/>
    <col min="15624" max="15858" width="9.140625" style="50" customWidth="1"/>
    <col min="15859" max="15859" width="6" style="50" customWidth="1"/>
    <col min="15860" max="15860" width="50.28515625" style="50" customWidth="1"/>
    <col min="15861" max="15862" width="0" style="50" hidden="1" customWidth="1"/>
    <col min="15863" max="15863" width="20.7109375" style="50" customWidth="1"/>
    <col min="15864" max="15864" width="23.28515625" style="50" customWidth="1"/>
    <col min="15865" max="15874" width="23.28515625" style="50"/>
    <col min="15875" max="15875" width="13.140625" style="50" customWidth="1"/>
    <col min="15876" max="15876" width="58" style="50" customWidth="1"/>
    <col min="15877" max="15877" width="25" style="50" customWidth="1"/>
    <col min="15878" max="15878" width="20.7109375" style="50" customWidth="1"/>
    <col min="15879" max="15879" width="25" style="50" customWidth="1"/>
    <col min="15880" max="16114" width="9.140625" style="50" customWidth="1"/>
    <col min="16115" max="16115" width="6" style="50" customWidth="1"/>
    <col min="16116" max="16116" width="50.28515625" style="50" customWidth="1"/>
    <col min="16117" max="16118" width="0" style="50" hidden="1" customWidth="1"/>
    <col min="16119" max="16119" width="20.7109375" style="50" customWidth="1"/>
    <col min="16120" max="16120" width="23.28515625" style="50" customWidth="1"/>
    <col min="16121" max="16130" width="23.28515625" style="50"/>
    <col min="16131" max="16131" width="13.140625" style="50" customWidth="1"/>
    <col min="16132" max="16132" width="58" style="50" customWidth="1"/>
    <col min="16133" max="16133" width="25" style="50" customWidth="1"/>
    <col min="16134" max="16134" width="20.7109375" style="50" customWidth="1"/>
    <col min="16135" max="16135" width="25" style="50" customWidth="1"/>
    <col min="16136" max="16370" width="9.140625" style="50" customWidth="1"/>
    <col min="16371" max="16371" width="6" style="50" customWidth="1"/>
    <col min="16372" max="16372" width="50.28515625" style="50" customWidth="1"/>
    <col min="16373" max="16374" width="0" style="50" hidden="1" customWidth="1"/>
    <col min="16375" max="16375" width="20.7109375" style="50" customWidth="1"/>
    <col min="16376" max="16376" width="23.28515625" style="50" customWidth="1"/>
    <col min="16377" max="16384" width="23.28515625" style="50"/>
  </cols>
  <sheetData>
    <row r="1" spans="1:248" ht="15.75">
      <c r="A1" s="513" t="s">
        <v>140</v>
      </c>
      <c r="B1" s="513"/>
      <c r="C1" s="513"/>
      <c r="D1" s="513"/>
      <c r="E1" s="513"/>
      <c r="F1" s="513"/>
      <c r="G1" s="513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</row>
    <row r="2" spans="1:248" ht="15.75">
      <c r="A2" s="513" t="s">
        <v>141</v>
      </c>
      <c r="B2" s="513"/>
      <c r="C2" s="513"/>
      <c r="D2" s="513"/>
      <c r="E2" s="513"/>
      <c r="F2" s="513"/>
      <c r="G2" s="513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</row>
    <row r="3" spans="1:248" ht="15.75"/>
    <row r="4" spans="1:248" ht="15.75">
      <c r="A4" s="55" t="s">
        <v>106</v>
      </c>
      <c r="B4" s="56" t="s">
        <v>142</v>
      </c>
      <c r="C4" s="57">
        <v>2008</v>
      </c>
      <c r="D4" s="57">
        <v>2009</v>
      </c>
      <c r="E4" s="55">
        <v>2010</v>
      </c>
      <c r="F4" s="55">
        <v>2011</v>
      </c>
      <c r="G4" s="57">
        <v>2012</v>
      </c>
    </row>
    <row r="5" spans="1:248" ht="15.75">
      <c r="A5" s="58"/>
      <c r="B5" s="59" t="s">
        <v>2</v>
      </c>
      <c r="C5" s="60">
        <f>+C7+C14</f>
        <v>76347046223</v>
      </c>
      <c r="D5" s="60">
        <f>+D7+D14</f>
        <v>42101135517</v>
      </c>
      <c r="E5" s="60">
        <f>+E7+E14</f>
        <v>47619928121</v>
      </c>
      <c r="F5" s="60">
        <f>+F7+F14</f>
        <v>56132797910</v>
      </c>
      <c r="G5" s="60">
        <f>+G7-G14</f>
        <v>31285133560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</row>
    <row r="6" spans="1:248" ht="15.75">
      <c r="A6" s="58"/>
      <c r="B6" s="59"/>
      <c r="C6" s="60"/>
      <c r="D6" s="60"/>
      <c r="E6" s="60"/>
      <c r="F6" s="60"/>
      <c r="G6" s="6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</row>
    <row r="7" spans="1:248" ht="15.75">
      <c r="A7" s="58"/>
      <c r="B7" s="59" t="s">
        <v>494</v>
      </c>
      <c r="C7" s="60">
        <f>SUM(C8:C12)</f>
        <v>70661542087</v>
      </c>
      <c r="D7" s="60">
        <f>SUM(D8:D12)</f>
        <v>32862368468</v>
      </c>
      <c r="E7" s="60">
        <f>SUM(E8:E12)</f>
        <v>40192735521</v>
      </c>
      <c r="F7" s="60">
        <f>SUM(F8:F12)</f>
        <v>46485138890</v>
      </c>
      <c r="G7" s="60">
        <f>SUM(G8:G12)</f>
        <v>46248247504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</row>
    <row r="8" spans="1:248" ht="15.75">
      <c r="A8" s="61"/>
      <c r="B8" s="62" t="s">
        <v>496</v>
      </c>
      <c r="C8" s="63">
        <v>56880649463</v>
      </c>
      <c r="D8" s="63">
        <v>30233284008</v>
      </c>
      <c r="E8" s="63">
        <v>39779853641</v>
      </c>
      <c r="F8" s="63">
        <v>46221398450</v>
      </c>
      <c r="G8" s="63">
        <v>44156820949</v>
      </c>
    </row>
    <row r="9" spans="1:248" ht="15.75">
      <c r="A9" s="66"/>
      <c r="B9" s="67" t="s">
        <v>499</v>
      </c>
      <c r="C9" s="68">
        <v>10426478900</v>
      </c>
      <c r="D9" s="68"/>
      <c r="E9" s="68"/>
      <c r="F9" s="68"/>
      <c r="G9" s="68">
        <v>0</v>
      </c>
    </row>
    <row r="10" spans="1:248" ht="15.75">
      <c r="A10" s="66"/>
      <c r="B10" s="67" t="s">
        <v>497</v>
      </c>
      <c r="C10" s="68"/>
      <c r="D10" s="68"/>
      <c r="E10" s="68"/>
      <c r="F10" s="68"/>
      <c r="G10" s="68"/>
    </row>
    <row r="11" spans="1:248" ht="15.75">
      <c r="A11" s="66"/>
      <c r="B11" s="67" t="s">
        <v>503</v>
      </c>
      <c r="C11" s="68">
        <v>3354413724</v>
      </c>
      <c r="D11" s="68">
        <v>2629084460</v>
      </c>
      <c r="E11" s="68">
        <v>412881880</v>
      </c>
      <c r="F11" s="68">
        <v>263740440</v>
      </c>
      <c r="G11" s="68">
        <v>2091426555</v>
      </c>
    </row>
    <row r="12" spans="1:248" ht="15.75">
      <c r="A12" s="66"/>
      <c r="B12" s="67" t="s">
        <v>498</v>
      </c>
      <c r="C12" s="68"/>
      <c r="D12" s="68"/>
      <c r="E12" s="68"/>
      <c r="F12" s="68"/>
      <c r="G12" s="68"/>
    </row>
    <row r="13" spans="1:248" ht="15.75">
      <c r="A13" s="390"/>
      <c r="B13" s="391"/>
      <c r="C13" s="392"/>
      <c r="D13" s="392"/>
      <c r="E13" s="392"/>
      <c r="F13" s="392"/>
      <c r="G13" s="392"/>
    </row>
    <row r="14" spans="1:248" ht="15.75">
      <c r="A14" s="58"/>
      <c r="B14" s="59" t="s">
        <v>495</v>
      </c>
      <c r="C14" s="60">
        <f>SUM(C15:C18)</f>
        <v>5685504136</v>
      </c>
      <c r="D14" s="60">
        <f t="shared" ref="D14:G14" si="0">SUM(D15:D18)</f>
        <v>9238767049</v>
      </c>
      <c r="E14" s="75">
        <f t="shared" si="0"/>
        <v>7427192600</v>
      </c>
      <c r="F14" s="60">
        <f t="shared" si="0"/>
        <v>9647659020</v>
      </c>
      <c r="G14" s="60">
        <f t="shared" si="0"/>
        <v>14963113944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</row>
    <row r="15" spans="1:248" ht="15.75">
      <c r="A15" s="61"/>
      <c r="B15" s="62" t="s">
        <v>500</v>
      </c>
      <c r="C15" s="63"/>
      <c r="D15" s="63"/>
      <c r="E15" s="63"/>
      <c r="F15" s="63">
        <v>5000000000</v>
      </c>
      <c r="G15" s="63">
        <v>7826780813</v>
      </c>
    </row>
    <row r="16" spans="1:248" ht="15.75">
      <c r="A16" s="66"/>
      <c r="B16" s="67" t="s">
        <v>501</v>
      </c>
      <c r="C16" s="68">
        <v>2808209990</v>
      </c>
      <c r="D16" s="68">
        <v>4012700750</v>
      </c>
      <c r="E16" s="68">
        <v>4860240000</v>
      </c>
      <c r="F16" s="68">
        <v>2515000000</v>
      </c>
      <c r="G16" s="68">
        <v>3004945750</v>
      </c>
    </row>
    <row r="17" spans="1:7" ht="15.75">
      <c r="A17" s="393"/>
      <c r="B17" s="394" t="s">
        <v>4</v>
      </c>
      <c r="C17" s="395"/>
      <c r="D17" s="395">
        <v>1216506415</v>
      </c>
      <c r="E17" s="395"/>
      <c r="F17" s="395"/>
      <c r="G17" s="395">
        <v>0</v>
      </c>
    </row>
    <row r="18" spans="1:7" s="54" customFormat="1" ht="15.75">
      <c r="A18" s="71"/>
      <c r="B18" s="72" t="s">
        <v>502</v>
      </c>
      <c r="C18" s="73">
        <v>2877294146</v>
      </c>
      <c r="D18" s="73">
        <v>4009559884</v>
      </c>
      <c r="E18" s="73">
        <v>2566952600</v>
      </c>
      <c r="F18" s="73">
        <v>2132659020</v>
      </c>
      <c r="G18" s="73">
        <v>4131387381</v>
      </c>
    </row>
    <row r="19" spans="1:7" s="54" customFormat="1" ht="15.75">
      <c r="A19" s="76"/>
      <c r="B19" s="77"/>
      <c r="C19" s="53"/>
      <c r="D19" s="53"/>
    </row>
    <row r="20" spans="1:7" s="54" customFormat="1" ht="15.75">
      <c r="A20" s="51"/>
      <c r="B20" s="52"/>
      <c r="C20" s="53"/>
      <c r="D20" s="53"/>
      <c r="E20" s="78"/>
      <c r="F20" s="78"/>
      <c r="G20" s="79"/>
    </row>
    <row r="21" spans="1:7" s="54" customFormat="1" ht="15.75">
      <c r="A21" s="51"/>
      <c r="B21" s="52"/>
      <c r="C21" s="80"/>
      <c r="D21" s="80"/>
      <c r="E21" s="79"/>
      <c r="F21" s="79"/>
      <c r="G21" s="81"/>
    </row>
    <row r="22" spans="1:7" s="54" customFormat="1" ht="15.75">
      <c r="A22" s="51"/>
      <c r="B22" s="52"/>
      <c r="C22" s="80" t="s">
        <v>139</v>
      </c>
      <c r="D22" s="80"/>
      <c r="E22" s="79"/>
      <c r="F22" s="79"/>
      <c r="G22" s="81">
        <v>15000000</v>
      </c>
    </row>
    <row r="23" spans="1:7" s="54" customFormat="1" ht="15.75">
      <c r="A23" s="51"/>
      <c r="B23" s="52"/>
      <c r="C23" s="80" t="s">
        <v>139</v>
      </c>
      <c r="D23" s="80"/>
      <c r="E23" s="79"/>
      <c r="F23" s="79"/>
      <c r="G23" s="81">
        <v>25000000</v>
      </c>
    </row>
    <row r="24" spans="1:7" s="54" customFormat="1" ht="15.75">
      <c r="A24" s="51"/>
      <c r="B24" s="52"/>
      <c r="C24" s="80"/>
      <c r="D24" s="80"/>
      <c r="E24" s="81"/>
      <c r="F24" s="81"/>
      <c r="G24" s="79"/>
    </row>
    <row r="25" spans="1:7" s="54" customFormat="1" ht="15.75">
      <c r="A25" s="51"/>
      <c r="B25" s="52"/>
      <c r="C25" s="80"/>
      <c r="D25" s="80"/>
      <c r="E25" s="81">
        <f>SUM(E20:E24)</f>
        <v>0</v>
      </c>
      <c r="F25" s="81"/>
      <c r="G25" s="81">
        <f>SUM(G20:G24)</f>
        <v>40000000</v>
      </c>
    </row>
    <row r="26" spans="1:7" s="54" customFormat="1" ht="15.75">
      <c r="A26" s="51"/>
      <c r="B26" s="52"/>
      <c r="C26" s="80"/>
      <c r="D26" s="80"/>
      <c r="E26" s="79"/>
      <c r="F26" s="79"/>
      <c r="G26" s="79"/>
    </row>
    <row r="27" spans="1:7" s="54" customFormat="1" ht="15.75">
      <c r="A27" s="51"/>
      <c r="B27" s="52"/>
      <c r="C27" s="80"/>
      <c r="D27" s="80"/>
      <c r="E27" s="514">
        <f>G25+E25</f>
        <v>40000000</v>
      </c>
      <c r="F27" s="514"/>
      <c r="G27" s="514"/>
    </row>
    <row r="28" spans="1:7" s="54" customFormat="1" ht="15.75">
      <c r="A28" s="51"/>
      <c r="B28" s="52"/>
      <c r="C28" s="80"/>
      <c r="D28" s="80"/>
      <c r="E28" s="79"/>
      <c r="F28" s="79"/>
      <c r="G28" s="79"/>
    </row>
    <row r="29" spans="1:7" s="54" customFormat="1" ht="15.75">
      <c r="A29" s="51"/>
      <c r="B29" s="52"/>
      <c r="C29" s="80"/>
      <c r="D29" s="80"/>
      <c r="E29" s="79"/>
      <c r="F29" s="79"/>
      <c r="G29" s="79"/>
    </row>
  </sheetData>
  <mergeCells count="3">
    <mergeCell ref="A1:G1"/>
    <mergeCell ref="A2:G2"/>
    <mergeCell ref="E27:G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S216"/>
  <sheetViews>
    <sheetView topLeftCell="B5" zoomScale="160" zoomScaleNormal="160" zoomScaleSheetLayoutView="90" workbookViewId="0">
      <pane xSplit="2" ySplit="4" topLeftCell="G74" activePane="bottomRight" state="frozen"/>
      <selection activeCell="B5" sqref="B5"/>
      <selection pane="topRight" activeCell="D5" sqref="D5"/>
      <selection pane="bottomLeft" activeCell="B9" sqref="B9"/>
      <selection pane="bottomRight" activeCell="G80" sqref="G80"/>
    </sheetView>
  </sheetViews>
  <sheetFormatPr defaultRowHeight="12.75"/>
  <cols>
    <col min="1" max="1" width="13.28515625" style="82" customWidth="1"/>
    <col min="2" max="2" width="39.7109375" style="82" customWidth="1"/>
    <col min="3" max="3" width="18.7109375" style="82" hidden="1" customWidth="1"/>
    <col min="4" max="4" width="20.85546875" style="82" customWidth="1"/>
    <col min="5" max="6" width="19.42578125" style="82" customWidth="1"/>
    <col min="7" max="7" width="19.42578125" style="82" bestFit="1" customWidth="1"/>
    <col min="8" max="8" width="19.28515625" style="83" customWidth="1"/>
    <col min="9" max="9" width="21.7109375" style="84" hidden="1" customWidth="1"/>
    <col min="10" max="10" width="21.7109375" style="85" hidden="1" customWidth="1"/>
    <col min="11" max="11" width="21.7109375" style="83" bestFit="1" customWidth="1"/>
    <col min="12" max="12" width="22" style="83" bestFit="1" customWidth="1"/>
    <col min="13" max="15" width="24.42578125" style="83" bestFit="1" customWidth="1"/>
    <col min="16" max="16" width="9.140625" style="82"/>
    <col min="17" max="17" width="20.42578125" style="82" bestFit="1" customWidth="1"/>
    <col min="18" max="192" width="9.140625" style="82"/>
    <col min="193" max="193" width="13.28515625" style="82" customWidth="1"/>
    <col min="194" max="194" width="44.140625" style="82" customWidth="1"/>
    <col min="195" max="198" width="0" style="82" hidden="1" customWidth="1"/>
    <col min="199" max="199" width="19.42578125" style="82" bestFit="1" customWidth="1"/>
    <col min="200" max="200" width="19.28515625" style="82" customWidth="1"/>
    <col min="201" max="201" width="21.28515625" style="82" customWidth="1"/>
    <col min="202" max="202" width="23.5703125" style="82" customWidth="1"/>
    <col min="203" max="203" width="15" style="82" bestFit="1" customWidth="1"/>
    <col min="204" max="204" width="14.28515625" style="82" bestFit="1" customWidth="1"/>
    <col min="205" max="448" width="9.140625" style="82"/>
    <col min="449" max="449" width="13.28515625" style="82" customWidth="1"/>
    <col min="450" max="450" width="44.140625" style="82" customWidth="1"/>
    <col min="451" max="454" width="0" style="82" hidden="1" customWidth="1"/>
    <col min="455" max="455" width="19.42578125" style="82" bestFit="1" customWidth="1"/>
    <col min="456" max="456" width="19.28515625" style="82" customWidth="1"/>
    <col min="457" max="457" width="21.28515625" style="82" customWidth="1"/>
    <col min="458" max="458" width="23.5703125" style="82" customWidth="1"/>
    <col min="459" max="459" width="15" style="82" bestFit="1" customWidth="1"/>
    <col min="460" max="460" width="14.28515625" style="82" bestFit="1" customWidth="1"/>
    <col min="461" max="704" width="9.140625" style="82"/>
    <col min="705" max="705" width="13.28515625" style="82" customWidth="1"/>
    <col min="706" max="706" width="44.140625" style="82" customWidth="1"/>
    <col min="707" max="710" width="0" style="82" hidden="1" customWidth="1"/>
    <col min="711" max="711" width="19.42578125" style="82" bestFit="1" customWidth="1"/>
    <col min="712" max="712" width="19.28515625" style="82" customWidth="1"/>
    <col min="713" max="713" width="21.28515625" style="82" customWidth="1"/>
    <col min="714" max="714" width="23.5703125" style="82" customWidth="1"/>
    <col min="715" max="715" width="15" style="82" bestFit="1" customWidth="1"/>
    <col min="716" max="716" width="14.28515625" style="82" bestFit="1" customWidth="1"/>
    <col min="717" max="960" width="9.140625" style="82"/>
    <col min="961" max="961" width="13.28515625" style="82" customWidth="1"/>
    <col min="962" max="962" width="44.140625" style="82" customWidth="1"/>
    <col min="963" max="966" width="0" style="82" hidden="1" customWidth="1"/>
    <col min="967" max="967" width="19.42578125" style="82" bestFit="1" customWidth="1"/>
    <col min="968" max="968" width="19.28515625" style="82" customWidth="1"/>
    <col min="969" max="969" width="21.28515625" style="82" customWidth="1"/>
    <col min="970" max="970" width="23.5703125" style="82" customWidth="1"/>
    <col min="971" max="971" width="15" style="82" bestFit="1" customWidth="1"/>
    <col min="972" max="972" width="14.28515625" style="82" bestFit="1" customWidth="1"/>
    <col min="973" max="1216" width="9.140625" style="82"/>
    <col min="1217" max="1217" width="13.28515625" style="82" customWidth="1"/>
    <col min="1218" max="1218" width="44.140625" style="82" customWidth="1"/>
    <col min="1219" max="1222" width="0" style="82" hidden="1" customWidth="1"/>
    <col min="1223" max="1223" width="19.42578125" style="82" bestFit="1" customWidth="1"/>
    <col min="1224" max="1224" width="19.28515625" style="82" customWidth="1"/>
    <col min="1225" max="1225" width="21.28515625" style="82" customWidth="1"/>
    <col min="1226" max="1226" width="23.5703125" style="82" customWidth="1"/>
    <col min="1227" max="1227" width="15" style="82" bestFit="1" customWidth="1"/>
    <col min="1228" max="1228" width="14.28515625" style="82" bestFit="1" customWidth="1"/>
    <col min="1229" max="1472" width="9.140625" style="82"/>
    <col min="1473" max="1473" width="13.28515625" style="82" customWidth="1"/>
    <col min="1474" max="1474" width="44.140625" style="82" customWidth="1"/>
    <col min="1475" max="1478" width="0" style="82" hidden="1" customWidth="1"/>
    <col min="1479" max="1479" width="19.42578125" style="82" bestFit="1" customWidth="1"/>
    <col min="1480" max="1480" width="19.28515625" style="82" customWidth="1"/>
    <col min="1481" max="1481" width="21.28515625" style="82" customWidth="1"/>
    <col min="1482" max="1482" width="23.5703125" style="82" customWidth="1"/>
    <col min="1483" max="1483" width="15" style="82" bestFit="1" customWidth="1"/>
    <col min="1484" max="1484" width="14.28515625" style="82" bestFit="1" customWidth="1"/>
    <col min="1485" max="1728" width="9.140625" style="82"/>
    <col min="1729" max="1729" width="13.28515625" style="82" customWidth="1"/>
    <col min="1730" max="1730" width="44.140625" style="82" customWidth="1"/>
    <col min="1731" max="1734" width="0" style="82" hidden="1" customWidth="1"/>
    <col min="1735" max="1735" width="19.42578125" style="82" bestFit="1" customWidth="1"/>
    <col min="1736" max="1736" width="19.28515625" style="82" customWidth="1"/>
    <col min="1737" max="1737" width="21.28515625" style="82" customWidth="1"/>
    <col min="1738" max="1738" width="23.5703125" style="82" customWidth="1"/>
    <col min="1739" max="1739" width="15" style="82" bestFit="1" customWidth="1"/>
    <col min="1740" max="1740" width="14.28515625" style="82" bestFit="1" customWidth="1"/>
    <col min="1741" max="1984" width="9.140625" style="82"/>
    <col min="1985" max="1985" width="13.28515625" style="82" customWidth="1"/>
    <col min="1986" max="1986" width="44.140625" style="82" customWidth="1"/>
    <col min="1987" max="1990" width="0" style="82" hidden="1" customWidth="1"/>
    <col min="1991" max="1991" width="19.42578125" style="82" bestFit="1" customWidth="1"/>
    <col min="1992" max="1992" width="19.28515625" style="82" customWidth="1"/>
    <col min="1993" max="1993" width="21.28515625" style="82" customWidth="1"/>
    <col min="1994" max="1994" width="23.5703125" style="82" customWidth="1"/>
    <col min="1995" max="1995" width="15" style="82" bestFit="1" customWidth="1"/>
    <col min="1996" max="1996" width="14.28515625" style="82" bestFit="1" customWidth="1"/>
    <col min="1997" max="2240" width="9.140625" style="82"/>
    <col min="2241" max="2241" width="13.28515625" style="82" customWidth="1"/>
    <col min="2242" max="2242" width="44.140625" style="82" customWidth="1"/>
    <col min="2243" max="2246" width="0" style="82" hidden="1" customWidth="1"/>
    <col min="2247" max="2247" width="19.42578125" style="82" bestFit="1" customWidth="1"/>
    <col min="2248" max="2248" width="19.28515625" style="82" customWidth="1"/>
    <col min="2249" max="2249" width="21.28515625" style="82" customWidth="1"/>
    <col min="2250" max="2250" width="23.5703125" style="82" customWidth="1"/>
    <col min="2251" max="2251" width="15" style="82" bestFit="1" customWidth="1"/>
    <col min="2252" max="2252" width="14.28515625" style="82" bestFit="1" customWidth="1"/>
    <col min="2253" max="2496" width="9.140625" style="82"/>
    <col min="2497" max="2497" width="13.28515625" style="82" customWidth="1"/>
    <col min="2498" max="2498" width="44.140625" style="82" customWidth="1"/>
    <col min="2499" max="2502" width="0" style="82" hidden="1" customWidth="1"/>
    <col min="2503" max="2503" width="19.42578125" style="82" bestFit="1" customWidth="1"/>
    <col min="2504" max="2504" width="19.28515625" style="82" customWidth="1"/>
    <col min="2505" max="2505" width="21.28515625" style="82" customWidth="1"/>
    <col min="2506" max="2506" width="23.5703125" style="82" customWidth="1"/>
    <col min="2507" max="2507" width="15" style="82" bestFit="1" customWidth="1"/>
    <col min="2508" max="2508" width="14.28515625" style="82" bestFit="1" customWidth="1"/>
    <col min="2509" max="2752" width="9.140625" style="82"/>
    <col min="2753" max="2753" width="13.28515625" style="82" customWidth="1"/>
    <col min="2754" max="2754" width="44.140625" style="82" customWidth="1"/>
    <col min="2755" max="2758" width="0" style="82" hidden="1" customWidth="1"/>
    <col min="2759" max="2759" width="19.42578125" style="82" bestFit="1" customWidth="1"/>
    <col min="2760" max="2760" width="19.28515625" style="82" customWidth="1"/>
    <col min="2761" max="2761" width="21.28515625" style="82" customWidth="1"/>
    <col min="2762" max="2762" width="23.5703125" style="82" customWidth="1"/>
    <col min="2763" max="2763" width="15" style="82" bestFit="1" customWidth="1"/>
    <col min="2764" max="2764" width="14.28515625" style="82" bestFit="1" customWidth="1"/>
    <col min="2765" max="3008" width="9.140625" style="82"/>
    <col min="3009" max="3009" width="13.28515625" style="82" customWidth="1"/>
    <col min="3010" max="3010" width="44.140625" style="82" customWidth="1"/>
    <col min="3011" max="3014" width="0" style="82" hidden="1" customWidth="1"/>
    <col min="3015" max="3015" width="19.42578125" style="82" bestFit="1" customWidth="1"/>
    <col min="3016" max="3016" width="19.28515625" style="82" customWidth="1"/>
    <col min="3017" max="3017" width="21.28515625" style="82" customWidth="1"/>
    <col min="3018" max="3018" width="23.5703125" style="82" customWidth="1"/>
    <col min="3019" max="3019" width="15" style="82" bestFit="1" customWidth="1"/>
    <col min="3020" max="3020" width="14.28515625" style="82" bestFit="1" customWidth="1"/>
    <col min="3021" max="3264" width="9.140625" style="82"/>
    <col min="3265" max="3265" width="13.28515625" style="82" customWidth="1"/>
    <col min="3266" max="3266" width="44.140625" style="82" customWidth="1"/>
    <col min="3267" max="3270" width="0" style="82" hidden="1" customWidth="1"/>
    <col min="3271" max="3271" width="19.42578125" style="82" bestFit="1" customWidth="1"/>
    <col min="3272" max="3272" width="19.28515625" style="82" customWidth="1"/>
    <col min="3273" max="3273" width="21.28515625" style="82" customWidth="1"/>
    <col min="3274" max="3274" width="23.5703125" style="82" customWidth="1"/>
    <col min="3275" max="3275" width="15" style="82" bestFit="1" customWidth="1"/>
    <col min="3276" max="3276" width="14.28515625" style="82" bestFit="1" customWidth="1"/>
    <col min="3277" max="3520" width="9.140625" style="82"/>
    <col min="3521" max="3521" width="13.28515625" style="82" customWidth="1"/>
    <col min="3522" max="3522" width="44.140625" style="82" customWidth="1"/>
    <col min="3523" max="3526" width="0" style="82" hidden="1" customWidth="1"/>
    <col min="3527" max="3527" width="19.42578125" style="82" bestFit="1" customWidth="1"/>
    <col min="3528" max="3528" width="19.28515625" style="82" customWidth="1"/>
    <col min="3529" max="3529" width="21.28515625" style="82" customWidth="1"/>
    <col min="3530" max="3530" width="23.5703125" style="82" customWidth="1"/>
    <col min="3531" max="3531" width="15" style="82" bestFit="1" customWidth="1"/>
    <col min="3532" max="3532" width="14.28515625" style="82" bestFit="1" customWidth="1"/>
    <col min="3533" max="3776" width="9.140625" style="82"/>
    <col min="3777" max="3777" width="13.28515625" style="82" customWidth="1"/>
    <col min="3778" max="3778" width="44.140625" style="82" customWidth="1"/>
    <col min="3779" max="3782" width="0" style="82" hidden="1" customWidth="1"/>
    <col min="3783" max="3783" width="19.42578125" style="82" bestFit="1" customWidth="1"/>
    <col min="3784" max="3784" width="19.28515625" style="82" customWidth="1"/>
    <col min="3785" max="3785" width="21.28515625" style="82" customWidth="1"/>
    <col min="3786" max="3786" width="23.5703125" style="82" customWidth="1"/>
    <col min="3787" max="3787" width="15" style="82" bestFit="1" customWidth="1"/>
    <col min="3788" max="3788" width="14.28515625" style="82" bestFit="1" customWidth="1"/>
    <col min="3789" max="4032" width="9.140625" style="82"/>
    <col min="4033" max="4033" width="13.28515625" style="82" customWidth="1"/>
    <col min="4034" max="4034" width="44.140625" style="82" customWidth="1"/>
    <col min="4035" max="4038" width="0" style="82" hidden="1" customWidth="1"/>
    <col min="4039" max="4039" width="19.42578125" style="82" bestFit="1" customWidth="1"/>
    <col min="4040" max="4040" width="19.28515625" style="82" customWidth="1"/>
    <col min="4041" max="4041" width="21.28515625" style="82" customWidth="1"/>
    <col min="4042" max="4042" width="23.5703125" style="82" customWidth="1"/>
    <col min="4043" max="4043" width="15" style="82" bestFit="1" customWidth="1"/>
    <col min="4044" max="4044" width="14.28515625" style="82" bestFit="1" customWidth="1"/>
    <col min="4045" max="4288" width="9.140625" style="82"/>
    <col min="4289" max="4289" width="13.28515625" style="82" customWidth="1"/>
    <col min="4290" max="4290" width="44.140625" style="82" customWidth="1"/>
    <col min="4291" max="4294" width="0" style="82" hidden="1" customWidth="1"/>
    <col min="4295" max="4295" width="19.42578125" style="82" bestFit="1" customWidth="1"/>
    <col min="4296" max="4296" width="19.28515625" style="82" customWidth="1"/>
    <col min="4297" max="4297" width="21.28515625" style="82" customWidth="1"/>
    <col min="4298" max="4298" width="23.5703125" style="82" customWidth="1"/>
    <col min="4299" max="4299" width="15" style="82" bestFit="1" customWidth="1"/>
    <col min="4300" max="4300" width="14.28515625" style="82" bestFit="1" customWidth="1"/>
    <col min="4301" max="4544" width="9.140625" style="82"/>
    <col min="4545" max="4545" width="13.28515625" style="82" customWidth="1"/>
    <col min="4546" max="4546" width="44.140625" style="82" customWidth="1"/>
    <col min="4547" max="4550" width="0" style="82" hidden="1" customWidth="1"/>
    <col min="4551" max="4551" width="19.42578125" style="82" bestFit="1" customWidth="1"/>
    <col min="4552" max="4552" width="19.28515625" style="82" customWidth="1"/>
    <col min="4553" max="4553" width="21.28515625" style="82" customWidth="1"/>
    <col min="4554" max="4554" width="23.5703125" style="82" customWidth="1"/>
    <col min="4555" max="4555" width="15" style="82" bestFit="1" customWidth="1"/>
    <col min="4556" max="4556" width="14.28515625" style="82" bestFit="1" customWidth="1"/>
    <col min="4557" max="4800" width="9.140625" style="82"/>
    <col min="4801" max="4801" width="13.28515625" style="82" customWidth="1"/>
    <col min="4802" max="4802" width="44.140625" style="82" customWidth="1"/>
    <col min="4803" max="4806" width="0" style="82" hidden="1" customWidth="1"/>
    <col min="4807" max="4807" width="19.42578125" style="82" bestFit="1" customWidth="1"/>
    <col min="4808" max="4808" width="19.28515625" style="82" customWidth="1"/>
    <col min="4809" max="4809" width="21.28515625" style="82" customWidth="1"/>
    <col min="4810" max="4810" width="23.5703125" style="82" customWidth="1"/>
    <col min="4811" max="4811" width="15" style="82" bestFit="1" customWidth="1"/>
    <col min="4812" max="4812" width="14.28515625" style="82" bestFit="1" customWidth="1"/>
    <col min="4813" max="5056" width="9.140625" style="82"/>
    <col min="5057" max="5057" width="13.28515625" style="82" customWidth="1"/>
    <col min="5058" max="5058" width="44.140625" style="82" customWidth="1"/>
    <col min="5059" max="5062" width="0" style="82" hidden="1" customWidth="1"/>
    <col min="5063" max="5063" width="19.42578125" style="82" bestFit="1" customWidth="1"/>
    <col min="5064" max="5064" width="19.28515625" style="82" customWidth="1"/>
    <col min="5065" max="5065" width="21.28515625" style="82" customWidth="1"/>
    <col min="5066" max="5066" width="23.5703125" style="82" customWidth="1"/>
    <col min="5067" max="5067" width="15" style="82" bestFit="1" customWidth="1"/>
    <col min="5068" max="5068" width="14.28515625" style="82" bestFit="1" customWidth="1"/>
    <col min="5069" max="5312" width="9.140625" style="82"/>
    <col min="5313" max="5313" width="13.28515625" style="82" customWidth="1"/>
    <col min="5314" max="5314" width="44.140625" style="82" customWidth="1"/>
    <col min="5315" max="5318" width="0" style="82" hidden="1" customWidth="1"/>
    <col min="5319" max="5319" width="19.42578125" style="82" bestFit="1" customWidth="1"/>
    <col min="5320" max="5320" width="19.28515625" style="82" customWidth="1"/>
    <col min="5321" max="5321" width="21.28515625" style="82" customWidth="1"/>
    <col min="5322" max="5322" width="23.5703125" style="82" customWidth="1"/>
    <col min="5323" max="5323" width="15" style="82" bestFit="1" customWidth="1"/>
    <col min="5324" max="5324" width="14.28515625" style="82" bestFit="1" customWidth="1"/>
    <col min="5325" max="5568" width="9.140625" style="82"/>
    <col min="5569" max="5569" width="13.28515625" style="82" customWidth="1"/>
    <col min="5570" max="5570" width="44.140625" style="82" customWidth="1"/>
    <col min="5571" max="5574" width="0" style="82" hidden="1" customWidth="1"/>
    <col min="5575" max="5575" width="19.42578125" style="82" bestFit="1" customWidth="1"/>
    <col min="5576" max="5576" width="19.28515625" style="82" customWidth="1"/>
    <col min="5577" max="5577" width="21.28515625" style="82" customWidth="1"/>
    <col min="5578" max="5578" width="23.5703125" style="82" customWidth="1"/>
    <col min="5579" max="5579" width="15" style="82" bestFit="1" customWidth="1"/>
    <col min="5580" max="5580" width="14.28515625" style="82" bestFit="1" customWidth="1"/>
    <col min="5581" max="5824" width="9.140625" style="82"/>
    <col min="5825" max="5825" width="13.28515625" style="82" customWidth="1"/>
    <col min="5826" max="5826" width="44.140625" style="82" customWidth="1"/>
    <col min="5827" max="5830" width="0" style="82" hidden="1" customWidth="1"/>
    <col min="5831" max="5831" width="19.42578125" style="82" bestFit="1" customWidth="1"/>
    <col min="5832" max="5832" width="19.28515625" style="82" customWidth="1"/>
    <col min="5833" max="5833" width="21.28515625" style="82" customWidth="1"/>
    <col min="5834" max="5834" width="23.5703125" style="82" customWidth="1"/>
    <col min="5835" max="5835" width="15" style="82" bestFit="1" customWidth="1"/>
    <col min="5836" max="5836" width="14.28515625" style="82" bestFit="1" customWidth="1"/>
    <col min="5837" max="6080" width="9.140625" style="82"/>
    <col min="6081" max="6081" width="13.28515625" style="82" customWidth="1"/>
    <col min="6082" max="6082" width="44.140625" style="82" customWidth="1"/>
    <col min="6083" max="6086" width="0" style="82" hidden="1" customWidth="1"/>
    <col min="6087" max="6087" width="19.42578125" style="82" bestFit="1" customWidth="1"/>
    <col min="6088" max="6088" width="19.28515625" style="82" customWidth="1"/>
    <col min="6089" max="6089" width="21.28515625" style="82" customWidth="1"/>
    <col min="6090" max="6090" width="23.5703125" style="82" customWidth="1"/>
    <col min="6091" max="6091" width="15" style="82" bestFit="1" customWidth="1"/>
    <col min="6092" max="6092" width="14.28515625" style="82" bestFit="1" customWidth="1"/>
    <col min="6093" max="6336" width="9.140625" style="82"/>
    <col min="6337" max="6337" width="13.28515625" style="82" customWidth="1"/>
    <col min="6338" max="6338" width="44.140625" style="82" customWidth="1"/>
    <col min="6339" max="6342" width="0" style="82" hidden="1" customWidth="1"/>
    <col min="6343" max="6343" width="19.42578125" style="82" bestFit="1" customWidth="1"/>
    <col min="6344" max="6344" width="19.28515625" style="82" customWidth="1"/>
    <col min="6345" max="6345" width="21.28515625" style="82" customWidth="1"/>
    <col min="6346" max="6346" width="23.5703125" style="82" customWidth="1"/>
    <col min="6347" max="6347" width="15" style="82" bestFit="1" customWidth="1"/>
    <col min="6348" max="6348" width="14.28515625" style="82" bestFit="1" customWidth="1"/>
    <col min="6349" max="6592" width="9.140625" style="82"/>
    <col min="6593" max="6593" width="13.28515625" style="82" customWidth="1"/>
    <col min="6594" max="6594" width="44.140625" style="82" customWidth="1"/>
    <col min="6595" max="6598" width="0" style="82" hidden="1" customWidth="1"/>
    <col min="6599" max="6599" width="19.42578125" style="82" bestFit="1" customWidth="1"/>
    <col min="6600" max="6600" width="19.28515625" style="82" customWidth="1"/>
    <col min="6601" max="6601" width="21.28515625" style="82" customWidth="1"/>
    <col min="6602" max="6602" width="23.5703125" style="82" customWidth="1"/>
    <col min="6603" max="6603" width="15" style="82" bestFit="1" customWidth="1"/>
    <col min="6604" max="6604" width="14.28515625" style="82" bestFit="1" customWidth="1"/>
    <col min="6605" max="6848" width="9.140625" style="82"/>
    <col min="6849" max="6849" width="13.28515625" style="82" customWidth="1"/>
    <col min="6850" max="6850" width="44.140625" style="82" customWidth="1"/>
    <col min="6851" max="6854" width="0" style="82" hidden="1" customWidth="1"/>
    <col min="6855" max="6855" width="19.42578125" style="82" bestFit="1" customWidth="1"/>
    <col min="6856" max="6856" width="19.28515625" style="82" customWidth="1"/>
    <col min="6857" max="6857" width="21.28515625" style="82" customWidth="1"/>
    <col min="6858" max="6858" width="23.5703125" style="82" customWidth="1"/>
    <col min="6859" max="6859" width="15" style="82" bestFit="1" customWidth="1"/>
    <col min="6860" max="6860" width="14.28515625" style="82" bestFit="1" customWidth="1"/>
    <col min="6861" max="7104" width="9.140625" style="82"/>
    <col min="7105" max="7105" width="13.28515625" style="82" customWidth="1"/>
    <col min="7106" max="7106" width="44.140625" style="82" customWidth="1"/>
    <col min="7107" max="7110" width="0" style="82" hidden="1" customWidth="1"/>
    <col min="7111" max="7111" width="19.42578125" style="82" bestFit="1" customWidth="1"/>
    <col min="7112" max="7112" width="19.28515625" style="82" customWidth="1"/>
    <col min="7113" max="7113" width="21.28515625" style="82" customWidth="1"/>
    <col min="7114" max="7114" width="23.5703125" style="82" customWidth="1"/>
    <col min="7115" max="7115" width="15" style="82" bestFit="1" customWidth="1"/>
    <col min="7116" max="7116" width="14.28515625" style="82" bestFit="1" customWidth="1"/>
    <col min="7117" max="7360" width="9.140625" style="82"/>
    <col min="7361" max="7361" width="13.28515625" style="82" customWidth="1"/>
    <col min="7362" max="7362" width="44.140625" style="82" customWidth="1"/>
    <col min="7363" max="7366" width="0" style="82" hidden="1" customWidth="1"/>
    <col min="7367" max="7367" width="19.42578125" style="82" bestFit="1" customWidth="1"/>
    <col min="7368" max="7368" width="19.28515625" style="82" customWidth="1"/>
    <col min="7369" max="7369" width="21.28515625" style="82" customWidth="1"/>
    <col min="7370" max="7370" width="23.5703125" style="82" customWidth="1"/>
    <col min="7371" max="7371" width="15" style="82" bestFit="1" customWidth="1"/>
    <col min="7372" max="7372" width="14.28515625" style="82" bestFit="1" customWidth="1"/>
    <col min="7373" max="7616" width="9.140625" style="82"/>
    <col min="7617" max="7617" width="13.28515625" style="82" customWidth="1"/>
    <col min="7618" max="7618" width="44.140625" style="82" customWidth="1"/>
    <col min="7619" max="7622" width="0" style="82" hidden="1" customWidth="1"/>
    <col min="7623" max="7623" width="19.42578125" style="82" bestFit="1" customWidth="1"/>
    <col min="7624" max="7624" width="19.28515625" style="82" customWidth="1"/>
    <col min="7625" max="7625" width="21.28515625" style="82" customWidth="1"/>
    <col min="7626" max="7626" width="23.5703125" style="82" customWidth="1"/>
    <col min="7627" max="7627" width="15" style="82" bestFit="1" customWidth="1"/>
    <col min="7628" max="7628" width="14.28515625" style="82" bestFit="1" customWidth="1"/>
    <col min="7629" max="7872" width="9.140625" style="82"/>
    <col min="7873" max="7873" width="13.28515625" style="82" customWidth="1"/>
    <col min="7874" max="7874" width="44.140625" style="82" customWidth="1"/>
    <col min="7875" max="7878" width="0" style="82" hidden="1" customWidth="1"/>
    <col min="7879" max="7879" width="19.42578125" style="82" bestFit="1" customWidth="1"/>
    <col min="7880" max="7880" width="19.28515625" style="82" customWidth="1"/>
    <col min="7881" max="7881" width="21.28515625" style="82" customWidth="1"/>
    <col min="7882" max="7882" width="23.5703125" style="82" customWidth="1"/>
    <col min="7883" max="7883" width="15" style="82" bestFit="1" customWidth="1"/>
    <col min="7884" max="7884" width="14.28515625" style="82" bestFit="1" customWidth="1"/>
    <col min="7885" max="8128" width="9.140625" style="82"/>
    <col min="8129" max="8129" width="13.28515625" style="82" customWidth="1"/>
    <col min="8130" max="8130" width="44.140625" style="82" customWidth="1"/>
    <col min="8131" max="8134" width="0" style="82" hidden="1" customWidth="1"/>
    <col min="8135" max="8135" width="19.42578125" style="82" bestFit="1" customWidth="1"/>
    <col min="8136" max="8136" width="19.28515625" style="82" customWidth="1"/>
    <col min="8137" max="8137" width="21.28515625" style="82" customWidth="1"/>
    <col min="8138" max="8138" width="23.5703125" style="82" customWidth="1"/>
    <col min="8139" max="8139" width="15" style="82" bestFit="1" customWidth="1"/>
    <col min="8140" max="8140" width="14.28515625" style="82" bestFit="1" customWidth="1"/>
    <col min="8141" max="8384" width="9.140625" style="82"/>
    <col min="8385" max="8385" width="13.28515625" style="82" customWidth="1"/>
    <col min="8386" max="8386" width="44.140625" style="82" customWidth="1"/>
    <col min="8387" max="8390" width="0" style="82" hidden="1" customWidth="1"/>
    <col min="8391" max="8391" width="19.42578125" style="82" bestFit="1" customWidth="1"/>
    <col min="8392" max="8392" width="19.28515625" style="82" customWidth="1"/>
    <col min="8393" max="8393" width="21.28515625" style="82" customWidth="1"/>
    <col min="8394" max="8394" width="23.5703125" style="82" customWidth="1"/>
    <col min="8395" max="8395" width="15" style="82" bestFit="1" customWidth="1"/>
    <col min="8396" max="8396" width="14.28515625" style="82" bestFit="1" customWidth="1"/>
    <col min="8397" max="8640" width="9.140625" style="82"/>
    <col min="8641" max="8641" width="13.28515625" style="82" customWidth="1"/>
    <col min="8642" max="8642" width="44.140625" style="82" customWidth="1"/>
    <col min="8643" max="8646" width="0" style="82" hidden="1" customWidth="1"/>
    <col min="8647" max="8647" width="19.42578125" style="82" bestFit="1" customWidth="1"/>
    <col min="8648" max="8648" width="19.28515625" style="82" customWidth="1"/>
    <col min="8649" max="8649" width="21.28515625" style="82" customWidth="1"/>
    <col min="8650" max="8650" width="23.5703125" style="82" customWidth="1"/>
    <col min="8651" max="8651" width="15" style="82" bestFit="1" customWidth="1"/>
    <col min="8652" max="8652" width="14.28515625" style="82" bestFit="1" customWidth="1"/>
    <col min="8653" max="8896" width="9.140625" style="82"/>
    <col min="8897" max="8897" width="13.28515625" style="82" customWidth="1"/>
    <col min="8898" max="8898" width="44.140625" style="82" customWidth="1"/>
    <col min="8899" max="8902" width="0" style="82" hidden="1" customWidth="1"/>
    <col min="8903" max="8903" width="19.42578125" style="82" bestFit="1" customWidth="1"/>
    <col min="8904" max="8904" width="19.28515625" style="82" customWidth="1"/>
    <col min="8905" max="8905" width="21.28515625" style="82" customWidth="1"/>
    <col min="8906" max="8906" width="23.5703125" style="82" customWidth="1"/>
    <col min="8907" max="8907" width="15" style="82" bestFit="1" customWidth="1"/>
    <col min="8908" max="8908" width="14.28515625" style="82" bestFit="1" customWidth="1"/>
    <col min="8909" max="9152" width="9.140625" style="82"/>
    <col min="9153" max="9153" width="13.28515625" style="82" customWidth="1"/>
    <col min="9154" max="9154" width="44.140625" style="82" customWidth="1"/>
    <col min="9155" max="9158" width="0" style="82" hidden="1" customWidth="1"/>
    <col min="9159" max="9159" width="19.42578125" style="82" bestFit="1" customWidth="1"/>
    <col min="9160" max="9160" width="19.28515625" style="82" customWidth="1"/>
    <col min="9161" max="9161" width="21.28515625" style="82" customWidth="1"/>
    <col min="9162" max="9162" width="23.5703125" style="82" customWidth="1"/>
    <col min="9163" max="9163" width="15" style="82" bestFit="1" customWidth="1"/>
    <col min="9164" max="9164" width="14.28515625" style="82" bestFit="1" customWidth="1"/>
    <col min="9165" max="9408" width="9.140625" style="82"/>
    <col min="9409" max="9409" width="13.28515625" style="82" customWidth="1"/>
    <col min="9410" max="9410" width="44.140625" style="82" customWidth="1"/>
    <col min="9411" max="9414" width="0" style="82" hidden="1" customWidth="1"/>
    <col min="9415" max="9415" width="19.42578125" style="82" bestFit="1" customWidth="1"/>
    <col min="9416" max="9416" width="19.28515625" style="82" customWidth="1"/>
    <col min="9417" max="9417" width="21.28515625" style="82" customWidth="1"/>
    <col min="9418" max="9418" width="23.5703125" style="82" customWidth="1"/>
    <col min="9419" max="9419" width="15" style="82" bestFit="1" customWidth="1"/>
    <col min="9420" max="9420" width="14.28515625" style="82" bestFit="1" customWidth="1"/>
    <col min="9421" max="9664" width="9.140625" style="82"/>
    <col min="9665" max="9665" width="13.28515625" style="82" customWidth="1"/>
    <col min="9666" max="9666" width="44.140625" style="82" customWidth="1"/>
    <col min="9667" max="9670" width="0" style="82" hidden="1" customWidth="1"/>
    <col min="9671" max="9671" width="19.42578125" style="82" bestFit="1" customWidth="1"/>
    <col min="9672" max="9672" width="19.28515625" style="82" customWidth="1"/>
    <col min="9673" max="9673" width="21.28515625" style="82" customWidth="1"/>
    <col min="9674" max="9674" width="23.5703125" style="82" customWidth="1"/>
    <col min="9675" max="9675" width="15" style="82" bestFit="1" customWidth="1"/>
    <col min="9676" max="9676" width="14.28515625" style="82" bestFit="1" customWidth="1"/>
    <col min="9677" max="9920" width="9.140625" style="82"/>
    <col min="9921" max="9921" width="13.28515625" style="82" customWidth="1"/>
    <col min="9922" max="9922" width="44.140625" style="82" customWidth="1"/>
    <col min="9923" max="9926" width="0" style="82" hidden="1" customWidth="1"/>
    <col min="9927" max="9927" width="19.42578125" style="82" bestFit="1" customWidth="1"/>
    <col min="9928" max="9928" width="19.28515625" style="82" customWidth="1"/>
    <col min="9929" max="9929" width="21.28515625" style="82" customWidth="1"/>
    <col min="9930" max="9930" width="23.5703125" style="82" customWidth="1"/>
    <col min="9931" max="9931" width="15" style="82" bestFit="1" customWidth="1"/>
    <col min="9932" max="9932" width="14.28515625" style="82" bestFit="1" customWidth="1"/>
    <col min="9933" max="10176" width="9.140625" style="82"/>
    <col min="10177" max="10177" width="13.28515625" style="82" customWidth="1"/>
    <col min="10178" max="10178" width="44.140625" style="82" customWidth="1"/>
    <col min="10179" max="10182" width="0" style="82" hidden="1" customWidth="1"/>
    <col min="10183" max="10183" width="19.42578125" style="82" bestFit="1" customWidth="1"/>
    <col min="10184" max="10184" width="19.28515625" style="82" customWidth="1"/>
    <col min="10185" max="10185" width="21.28515625" style="82" customWidth="1"/>
    <col min="10186" max="10186" width="23.5703125" style="82" customWidth="1"/>
    <col min="10187" max="10187" width="15" style="82" bestFit="1" customWidth="1"/>
    <col min="10188" max="10188" width="14.28515625" style="82" bestFit="1" customWidth="1"/>
    <col min="10189" max="10432" width="9.140625" style="82"/>
    <col min="10433" max="10433" width="13.28515625" style="82" customWidth="1"/>
    <col min="10434" max="10434" width="44.140625" style="82" customWidth="1"/>
    <col min="10435" max="10438" width="0" style="82" hidden="1" customWidth="1"/>
    <col min="10439" max="10439" width="19.42578125" style="82" bestFit="1" customWidth="1"/>
    <col min="10440" max="10440" width="19.28515625" style="82" customWidth="1"/>
    <col min="10441" max="10441" width="21.28515625" style="82" customWidth="1"/>
    <col min="10442" max="10442" width="23.5703125" style="82" customWidth="1"/>
    <col min="10443" max="10443" width="15" style="82" bestFit="1" customWidth="1"/>
    <col min="10444" max="10444" width="14.28515625" style="82" bestFit="1" customWidth="1"/>
    <col min="10445" max="10688" width="9.140625" style="82"/>
    <col min="10689" max="10689" width="13.28515625" style="82" customWidth="1"/>
    <col min="10690" max="10690" width="44.140625" style="82" customWidth="1"/>
    <col min="10691" max="10694" width="0" style="82" hidden="1" customWidth="1"/>
    <col min="10695" max="10695" width="19.42578125" style="82" bestFit="1" customWidth="1"/>
    <col min="10696" max="10696" width="19.28515625" style="82" customWidth="1"/>
    <col min="10697" max="10697" width="21.28515625" style="82" customWidth="1"/>
    <col min="10698" max="10698" width="23.5703125" style="82" customWidth="1"/>
    <col min="10699" max="10699" width="15" style="82" bestFit="1" customWidth="1"/>
    <col min="10700" max="10700" width="14.28515625" style="82" bestFit="1" customWidth="1"/>
    <col min="10701" max="10944" width="9.140625" style="82"/>
    <col min="10945" max="10945" width="13.28515625" style="82" customWidth="1"/>
    <col min="10946" max="10946" width="44.140625" style="82" customWidth="1"/>
    <col min="10947" max="10950" width="0" style="82" hidden="1" customWidth="1"/>
    <col min="10951" max="10951" width="19.42578125" style="82" bestFit="1" customWidth="1"/>
    <col min="10952" max="10952" width="19.28515625" style="82" customWidth="1"/>
    <col min="10953" max="10953" width="21.28515625" style="82" customWidth="1"/>
    <col min="10954" max="10954" width="23.5703125" style="82" customWidth="1"/>
    <col min="10955" max="10955" width="15" style="82" bestFit="1" customWidth="1"/>
    <col min="10956" max="10956" width="14.28515625" style="82" bestFit="1" customWidth="1"/>
    <col min="10957" max="11200" width="9.140625" style="82"/>
    <col min="11201" max="11201" width="13.28515625" style="82" customWidth="1"/>
    <col min="11202" max="11202" width="44.140625" style="82" customWidth="1"/>
    <col min="11203" max="11206" width="0" style="82" hidden="1" customWidth="1"/>
    <col min="11207" max="11207" width="19.42578125" style="82" bestFit="1" customWidth="1"/>
    <col min="11208" max="11208" width="19.28515625" style="82" customWidth="1"/>
    <col min="11209" max="11209" width="21.28515625" style="82" customWidth="1"/>
    <col min="11210" max="11210" width="23.5703125" style="82" customWidth="1"/>
    <col min="11211" max="11211" width="15" style="82" bestFit="1" customWidth="1"/>
    <col min="11212" max="11212" width="14.28515625" style="82" bestFit="1" customWidth="1"/>
    <col min="11213" max="11456" width="9.140625" style="82"/>
    <col min="11457" max="11457" width="13.28515625" style="82" customWidth="1"/>
    <col min="11458" max="11458" width="44.140625" style="82" customWidth="1"/>
    <col min="11459" max="11462" width="0" style="82" hidden="1" customWidth="1"/>
    <col min="11463" max="11463" width="19.42578125" style="82" bestFit="1" customWidth="1"/>
    <col min="11464" max="11464" width="19.28515625" style="82" customWidth="1"/>
    <col min="11465" max="11465" width="21.28515625" style="82" customWidth="1"/>
    <col min="11466" max="11466" width="23.5703125" style="82" customWidth="1"/>
    <col min="11467" max="11467" width="15" style="82" bestFit="1" customWidth="1"/>
    <col min="11468" max="11468" width="14.28515625" style="82" bestFit="1" customWidth="1"/>
    <col min="11469" max="11712" width="9.140625" style="82"/>
    <col min="11713" max="11713" width="13.28515625" style="82" customWidth="1"/>
    <col min="11714" max="11714" width="44.140625" style="82" customWidth="1"/>
    <col min="11715" max="11718" width="0" style="82" hidden="1" customWidth="1"/>
    <col min="11719" max="11719" width="19.42578125" style="82" bestFit="1" customWidth="1"/>
    <col min="11720" max="11720" width="19.28515625" style="82" customWidth="1"/>
    <col min="11721" max="11721" width="21.28515625" style="82" customWidth="1"/>
    <col min="11722" max="11722" width="23.5703125" style="82" customWidth="1"/>
    <col min="11723" max="11723" width="15" style="82" bestFit="1" customWidth="1"/>
    <col min="11724" max="11724" width="14.28515625" style="82" bestFit="1" customWidth="1"/>
    <col min="11725" max="11968" width="9.140625" style="82"/>
    <col min="11969" max="11969" width="13.28515625" style="82" customWidth="1"/>
    <col min="11970" max="11970" width="44.140625" style="82" customWidth="1"/>
    <col min="11971" max="11974" width="0" style="82" hidden="1" customWidth="1"/>
    <col min="11975" max="11975" width="19.42578125" style="82" bestFit="1" customWidth="1"/>
    <col min="11976" max="11976" width="19.28515625" style="82" customWidth="1"/>
    <col min="11977" max="11977" width="21.28515625" style="82" customWidth="1"/>
    <col min="11978" max="11978" width="23.5703125" style="82" customWidth="1"/>
    <col min="11979" max="11979" width="15" style="82" bestFit="1" customWidth="1"/>
    <col min="11980" max="11980" width="14.28515625" style="82" bestFit="1" customWidth="1"/>
    <col min="11981" max="12224" width="9.140625" style="82"/>
    <col min="12225" max="12225" width="13.28515625" style="82" customWidth="1"/>
    <col min="12226" max="12226" width="44.140625" style="82" customWidth="1"/>
    <col min="12227" max="12230" width="0" style="82" hidden="1" customWidth="1"/>
    <col min="12231" max="12231" width="19.42578125" style="82" bestFit="1" customWidth="1"/>
    <col min="12232" max="12232" width="19.28515625" style="82" customWidth="1"/>
    <col min="12233" max="12233" width="21.28515625" style="82" customWidth="1"/>
    <col min="12234" max="12234" width="23.5703125" style="82" customWidth="1"/>
    <col min="12235" max="12235" width="15" style="82" bestFit="1" customWidth="1"/>
    <col min="12236" max="12236" width="14.28515625" style="82" bestFit="1" customWidth="1"/>
    <col min="12237" max="12480" width="9.140625" style="82"/>
    <col min="12481" max="12481" width="13.28515625" style="82" customWidth="1"/>
    <col min="12482" max="12482" width="44.140625" style="82" customWidth="1"/>
    <col min="12483" max="12486" width="0" style="82" hidden="1" customWidth="1"/>
    <col min="12487" max="12487" width="19.42578125" style="82" bestFit="1" customWidth="1"/>
    <col min="12488" max="12488" width="19.28515625" style="82" customWidth="1"/>
    <col min="12489" max="12489" width="21.28515625" style="82" customWidth="1"/>
    <col min="12490" max="12490" width="23.5703125" style="82" customWidth="1"/>
    <col min="12491" max="12491" width="15" style="82" bestFit="1" customWidth="1"/>
    <col min="12492" max="12492" width="14.28515625" style="82" bestFit="1" customWidth="1"/>
    <col min="12493" max="12736" width="9.140625" style="82"/>
    <col min="12737" max="12737" width="13.28515625" style="82" customWidth="1"/>
    <col min="12738" max="12738" width="44.140625" style="82" customWidth="1"/>
    <col min="12739" max="12742" width="0" style="82" hidden="1" customWidth="1"/>
    <col min="12743" max="12743" width="19.42578125" style="82" bestFit="1" customWidth="1"/>
    <col min="12744" max="12744" width="19.28515625" style="82" customWidth="1"/>
    <col min="12745" max="12745" width="21.28515625" style="82" customWidth="1"/>
    <col min="12746" max="12746" width="23.5703125" style="82" customWidth="1"/>
    <col min="12747" max="12747" width="15" style="82" bestFit="1" customWidth="1"/>
    <col min="12748" max="12748" width="14.28515625" style="82" bestFit="1" customWidth="1"/>
    <col min="12749" max="12992" width="9.140625" style="82"/>
    <col min="12993" max="12993" width="13.28515625" style="82" customWidth="1"/>
    <col min="12994" max="12994" width="44.140625" style="82" customWidth="1"/>
    <col min="12995" max="12998" width="0" style="82" hidden="1" customWidth="1"/>
    <col min="12999" max="12999" width="19.42578125" style="82" bestFit="1" customWidth="1"/>
    <col min="13000" max="13000" width="19.28515625" style="82" customWidth="1"/>
    <col min="13001" max="13001" width="21.28515625" style="82" customWidth="1"/>
    <col min="13002" max="13002" width="23.5703125" style="82" customWidth="1"/>
    <col min="13003" max="13003" width="15" style="82" bestFit="1" customWidth="1"/>
    <col min="13004" max="13004" width="14.28515625" style="82" bestFit="1" customWidth="1"/>
    <col min="13005" max="13248" width="9.140625" style="82"/>
    <col min="13249" max="13249" width="13.28515625" style="82" customWidth="1"/>
    <col min="13250" max="13250" width="44.140625" style="82" customWidth="1"/>
    <col min="13251" max="13254" width="0" style="82" hidden="1" customWidth="1"/>
    <col min="13255" max="13255" width="19.42578125" style="82" bestFit="1" customWidth="1"/>
    <col min="13256" max="13256" width="19.28515625" style="82" customWidth="1"/>
    <col min="13257" max="13257" width="21.28515625" style="82" customWidth="1"/>
    <col min="13258" max="13258" width="23.5703125" style="82" customWidth="1"/>
    <col min="13259" max="13259" width="15" style="82" bestFit="1" customWidth="1"/>
    <col min="13260" max="13260" width="14.28515625" style="82" bestFit="1" customWidth="1"/>
    <col min="13261" max="13504" width="9.140625" style="82"/>
    <col min="13505" max="13505" width="13.28515625" style="82" customWidth="1"/>
    <col min="13506" max="13506" width="44.140625" style="82" customWidth="1"/>
    <col min="13507" max="13510" width="0" style="82" hidden="1" customWidth="1"/>
    <col min="13511" max="13511" width="19.42578125" style="82" bestFit="1" customWidth="1"/>
    <col min="13512" max="13512" width="19.28515625" style="82" customWidth="1"/>
    <col min="13513" max="13513" width="21.28515625" style="82" customWidth="1"/>
    <col min="13514" max="13514" width="23.5703125" style="82" customWidth="1"/>
    <col min="13515" max="13515" width="15" style="82" bestFit="1" customWidth="1"/>
    <col min="13516" max="13516" width="14.28515625" style="82" bestFit="1" customWidth="1"/>
    <col min="13517" max="13760" width="9.140625" style="82"/>
    <col min="13761" max="13761" width="13.28515625" style="82" customWidth="1"/>
    <col min="13762" max="13762" width="44.140625" style="82" customWidth="1"/>
    <col min="13763" max="13766" width="0" style="82" hidden="1" customWidth="1"/>
    <col min="13767" max="13767" width="19.42578125" style="82" bestFit="1" customWidth="1"/>
    <col min="13768" max="13768" width="19.28515625" style="82" customWidth="1"/>
    <col min="13769" max="13769" width="21.28515625" style="82" customWidth="1"/>
    <col min="13770" max="13770" width="23.5703125" style="82" customWidth="1"/>
    <col min="13771" max="13771" width="15" style="82" bestFit="1" customWidth="1"/>
    <col min="13772" max="13772" width="14.28515625" style="82" bestFit="1" customWidth="1"/>
    <col min="13773" max="14016" width="9.140625" style="82"/>
    <col min="14017" max="14017" width="13.28515625" style="82" customWidth="1"/>
    <col min="14018" max="14018" width="44.140625" style="82" customWidth="1"/>
    <col min="14019" max="14022" width="0" style="82" hidden="1" customWidth="1"/>
    <col min="14023" max="14023" width="19.42578125" style="82" bestFit="1" customWidth="1"/>
    <col min="14024" max="14024" width="19.28515625" style="82" customWidth="1"/>
    <col min="14025" max="14025" width="21.28515625" style="82" customWidth="1"/>
    <col min="14026" max="14026" width="23.5703125" style="82" customWidth="1"/>
    <col min="14027" max="14027" width="15" style="82" bestFit="1" customWidth="1"/>
    <col min="14028" max="14028" width="14.28515625" style="82" bestFit="1" customWidth="1"/>
    <col min="14029" max="14272" width="9.140625" style="82"/>
    <col min="14273" max="14273" width="13.28515625" style="82" customWidth="1"/>
    <col min="14274" max="14274" width="44.140625" style="82" customWidth="1"/>
    <col min="14275" max="14278" width="0" style="82" hidden="1" customWidth="1"/>
    <col min="14279" max="14279" width="19.42578125" style="82" bestFit="1" customWidth="1"/>
    <col min="14280" max="14280" width="19.28515625" style="82" customWidth="1"/>
    <col min="14281" max="14281" width="21.28515625" style="82" customWidth="1"/>
    <col min="14282" max="14282" width="23.5703125" style="82" customWidth="1"/>
    <col min="14283" max="14283" width="15" style="82" bestFit="1" customWidth="1"/>
    <col min="14284" max="14284" width="14.28515625" style="82" bestFit="1" customWidth="1"/>
    <col min="14285" max="14528" width="9.140625" style="82"/>
    <col min="14529" max="14529" width="13.28515625" style="82" customWidth="1"/>
    <col min="14530" max="14530" width="44.140625" style="82" customWidth="1"/>
    <col min="14531" max="14534" width="0" style="82" hidden="1" customWidth="1"/>
    <col min="14535" max="14535" width="19.42578125" style="82" bestFit="1" customWidth="1"/>
    <col min="14536" max="14536" width="19.28515625" style="82" customWidth="1"/>
    <col min="14537" max="14537" width="21.28515625" style="82" customWidth="1"/>
    <col min="14538" max="14538" width="23.5703125" style="82" customWidth="1"/>
    <col min="14539" max="14539" width="15" style="82" bestFit="1" customWidth="1"/>
    <col min="14540" max="14540" width="14.28515625" style="82" bestFit="1" customWidth="1"/>
    <col min="14541" max="14784" width="9.140625" style="82"/>
    <col min="14785" max="14785" width="13.28515625" style="82" customWidth="1"/>
    <col min="14786" max="14786" width="44.140625" style="82" customWidth="1"/>
    <col min="14787" max="14790" width="0" style="82" hidden="1" customWidth="1"/>
    <col min="14791" max="14791" width="19.42578125" style="82" bestFit="1" customWidth="1"/>
    <col min="14792" max="14792" width="19.28515625" style="82" customWidth="1"/>
    <col min="14793" max="14793" width="21.28515625" style="82" customWidth="1"/>
    <col min="14794" max="14794" width="23.5703125" style="82" customWidth="1"/>
    <col min="14795" max="14795" width="15" style="82" bestFit="1" customWidth="1"/>
    <col min="14796" max="14796" width="14.28515625" style="82" bestFit="1" customWidth="1"/>
    <col min="14797" max="15040" width="9.140625" style="82"/>
    <col min="15041" max="15041" width="13.28515625" style="82" customWidth="1"/>
    <col min="15042" max="15042" width="44.140625" style="82" customWidth="1"/>
    <col min="15043" max="15046" width="0" style="82" hidden="1" customWidth="1"/>
    <col min="15047" max="15047" width="19.42578125" style="82" bestFit="1" customWidth="1"/>
    <col min="15048" max="15048" width="19.28515625" style="82" customWidth="1"/>
    <col min="15049" max="15049" width="21.28515625" style="82" customWidth="1"/>
    <col min="15050" max="15050" width="23.5703125" style="82" customWidth="1"/>
    <col min="15051" max="15051" width="15" style="82" bestFit="1" customWidth="1"/>
    <col min="15052" max="15052" width="14.28515625" style="82" bestFit="1" customWidth="1"/>
    <col min="15053" max="15296" width="9.140625" style="82"/>
    <col min="15297" max="15297" width="13.28515625" style="82" customWidth="1"/>
    <col min="15298" max="15298" width="44.140625" style="82" customWidth="1"/>
    <col min="15299" max="15302" width="0" style="82" hidden="1" customWidth="1"/>
    <col min="15303" max="15303" width="19.42578125" style="82" bestFit="1" customWidth="1"/>
    <col min="15304" max="15304" width="19.28515625" style="82" customWidth="1"/>
    <col min="15305" max="15305" width="21.28515625" style="82" customWidth="1"/>
    <col min="15306" max="15306" width="23.5703125" style="82" customWidth="1"/>
    <col min="15307" max="15307" width="15" style="82" bestFit="1" customWidth="1"/>
    <col min="15308" max="15308" width="14.28515625" style="82" bestFit="1" customWidth="1"/>
    <col min="15309" max="15552" width="9.140625" style="82"/>
    <col min="15553" max="15553" width="13.28515625" style="82" customWidth="1"/>
    <col min="15554" max="15554" width="44.140625" style="82" customWidth="1"/>
    <col min="15555" max="15558" width="0" style="82" hidden="1" customWidth="1"/>
    <col min="15559" max="15559" width="19.42578125" style="82" bestFit="1" customWidth="1"/>
    <col min="15560" max="15560" width="19.28515625" style="82" customWidth="1"/>
    <col min="15561" max="15561" width="21.28515625" style="82" customWidth="1"/>
    <col min="15562" max="15562" width="23.5703125" style="82" customWidth="1"/>
    <col min="15563" max="15563" width="15" style="82" bestFit="1" customWidth="1"/>
    <col min="15564" max="15564" width="14.28515625" style="82" bestFit="1" customWidth="1"/>
    <col min="15565" max="15808" width="9.140625" style="82"/>
    <col min="15809" max="15809" width="13.28515625" style="82" customWidth="1"/>
    <col min="15810" max="15810" width="44.140625" style="82" customWidth="1"/>
    <col min="15811" max="15814" width="0" style="82" hidden="1" customWidth="1"/>
    <col min="15815" max="15815" width="19.42578125" style="82" bestFit="1" customWidth="1"/>
    <col min="15816" max="15816" width="19.28515625" style="82" customWidth="1"/>
    <col min="15817" max="15817" width="21.28515625" style="82" customWidth="1"/>
    <col min="15818" max="15818" width="23.5703125" style="82" customWidth="1"/>
    <col min="15819" max="15819" width="15" style="82" bestFit="1" customWidth="1"/>
    <col min="15820" max="15820" width="14.28515625" style="82" bestFit="1" customWidth="1"/>
    <col min="15821" max="16064" width="9.140625" style="82"/>
    <col min="16065" max="16065" width="13.28515625" style="82" customWidth="1"/>
    <col min="16066" max="16066" width="44.140625" style="82" customWidth="1"/>
    <col min="16067" max="16070" width="0" style="82" hidden="1" customWidth="1"/>
    <col min="16071" max="16071" width="19.42578125" style="82" bestFit="1" customWidth="1"/>
    <col min="16072" max="16072" width="19.28515625" style="82" customWidth="1"/>
    <col min="16073" max="16073" width="21.28515625" style="82" customWidth="1"/>
    <col min="16074" max="16074" width="23.5703125" style="82" customWidth="1"/>
    <col min="16075" max="16075" width="15" style="82" bestFit="1" customWidth="1"/>
    <col min="16076" max="16076" width="14.28515625" style="82" bestFit="1" customWidth="1"/>
    <col min="16077" max="16384" width="9.140625" style="82"/>
  </cols>
  <sheetData>
    <row r="1" spans="1:19" ht="16.5">
      <c r="A1" s="539"/>
      <c r="B1" s="539"/>
      <c r="C1" s="539"/>
      <c r="D1" s="539"/>
      <c r="E1" s="539"/>
    </row>
    <row r="2" spans="1:19" ht="16.5">
      <c r="A2" s="539"/>
      <c r="B2" s="539"/>
      <c r="C2" s="539"/>
      <c r="D2" s="539"/>
      <c r="E2" s="539"/>
    </row>
    <row r="3" spans="1:19" ht="16.5">
      <c r="A3" s="539"/>
      <c r="B3" s="539"/>
      <c r="C3" s="539"/>
      <c r="D3" s="539"/>
      <c r="E3" s="539"/>
    </row>
    <row r="4" spans="1:19" s="86" customFormat="1" ht="14.25" thickBot="1">
      <c r="H4" s="87"/>
      <c r="I4" s="88"/>
      <c r="J4" s="89"/>
      <c r="K4" s="87"/>
      <c r="L4" s="87"/>
      <c r="M4" s="87"/>
      <c r="N4" s="87"/>
      <c r="O4" s="87"/>
    </row>
    <row r="5" spans="1:19" ht="3.75" customHeight="1">
      <c r="A5" s="540" t="s">
        <v>164</v>
      </c>
      <c r="B5" s="543" t="s">
        <v>165</v>
      </c>
      <c r="C5" s="90" t="s">
        <v>166</v>
      </c>
      <c r="D5" s="90" t="s">
        <v>8</v>
      </c>
      <c r="E5" s="90"/>
      <c r="F5" s="90"/>
      <c r="G5" s="90"/>
      <c r="H5" s="91"/>
      <c r="I5" s="92"/>
      <c r="J5" s="93"/>
      <c r="K5" s="91"/>
      <c r="L5" s="91"/>
      <c r="M5" s="91"/>
      <c r="N5" s="91"/>
      <c r="O5" s="91"/>
    </row>
    <row r="6" spans="1:19" ht="15.75">
      <c r="A6" s="541"/>
      <c r="B6" s="544"/>
      <c r="C6" s="94" t="s">
        <v>167</v>
      </c>
      <c r="D6" s="94">
        <v>2008</v>
      </c>
      <c r="E6" s="94">
        <v>2009</v>
      </c>
      <c r="F6" s="94">
        <v>2010</v>
      </c>
      <c r="G6" s="94">
        <v>2011</v>
      </c>
      <c r="H6" s="95">
        <v>2012</v>
      </c>
      <c r="I6" s="96" t="s">
        <v>168</v>
      </c>
      <c r="J6" s="97" t="s">
        <v>169</v>
      </c>
      <c r="K6" s="95">
        <v>2014</v>
      </c>
      <c r="L6" s="95">
        <v>2015</v>
      </c>
      <c r="M6" s="95">
        <v>2016</v>
      </c>
      <c r="N6" s="95">
        <v>2017</v>
      </c>
      <c r="O6" s="95">
        <v>2018</v>
      </c>
    </row>
    <row r="7" spans="1:19" ht="3.75" customHeight="1" thickBot="1">
      <c r="A7" s="542"/>
      <c r="B7" s="545"/>
      <c r="C7" s="98" t="s">
        <v>170</v>
      </c>
      <c r="D7" s="98" t="s">
        <v>8</v>
      </c>
      <c r="E7" s="98"/>
      <c r="F7" s="98" t="s">
        <v>8</v>
      </c>
      <c r="G7" s="98"/>
      <c r="H7" s="99" t="s">
        <v>8</v>
      </c>
      <c r="I7" s="100"/>
      <c r="J7" s="101" t="s">
        <v>8</v>
      </c>
      <c r="K7" s="99"/>
      <c r="L7" s="99"/>
      <c r="M7" s="99"/>
      <c r="N7" s="99"/>
      <c r="O7" s="99"/>
    </row>
    <row r="8" spans="1:19" ht="15.75" thickBot="1">
      <c r="A8" s="102">
        <v>5</v>
      </c>
      <c r="B8" s="102">
        <v>6</v>
      </c>
      <c r="C8" s="102">
        <v>7</v>
      </c>
      <c r="D8" s="102">
        <v>8</v>
      </c>
      <c r="E8" s="102">
        <v>9</v>
      </c>
      <c r="F8" s="102">
        <v>8</v>
      </c>
      <c r="G8" s="102">
        <v>9</v>
      </c>
      <c r="H8" s="103">
        <v>8</v>
      </c>
      <c r="I8" s="104"/>
      <c r="J8" s="105">
        <v>8</v>
      </c>
      <c r="K8" s="103">
        <v>9</v>
      </c>
      <c r="L8" s="103">
        <v>9</v>
      </c>
      <c r="M8" s="103">
        <v>9</v>
      </c>
      <c r="N8" s="103">
        <v>9</v>
      </c>
      <c r="O8" s="103">
        <v>9</v>
      </c>
    </row>
    <row r="9" spans="1:19" ht="15">
      <c r="A9" s="106"/>
      <c r="B9" s="106"/>
      <c r="C9" s="106"/>
      <c r="D9" s="106"/>
      <c r="E9" s="106"/>
      <c r="F9" s="106"/>
      <c r="G9" s="106"/>
      <c r="H9" s="107"/>
      <c r="I9" s="108"/>
      <c r="J9" s="109"/>
      <c r="K9" s="110"/>
      <c r="L9" s="107"/>
      <c r="M9" s="107"/>
      <c r="N9" s="107"/>
      <c r="O9" s="107"/>
    </row>
    <row r="10" spans="1:19" ht="15.75">
      <c r="A10" s="111" t="s">
        <v>171</v>
      </c>
      <c r="B10" s="112" t="s">
        <v>110</v>
      </c>
      <c r="C10" s="113" t="e">
        <f t="shared" ref="C10:J10" si="0">SUM(C12+C147+C167)</f>
        <v>#REF!</v>
      </c>
      <c r="D10" s="113">
        <f t="shared" si="0"/>
        <v>576614217128</v>
      </c>
      <c r="E10" s="113">
        <f t="shared" si="0"/>
        <v>623122779590</v>
      </c>
      <c r="F10" s="113">
        <f t="shared" si="0"/>
        <v>675659734845</v>
      </c>
      <c r="G10" s="113">
        <f t="shared" si="0"/>
        <v>823479890034</v>
      </c>
      <c r="H10" s="113">
        <f t="shared" si="0"/>
        <v>966815573681</v>
      </c>
      <c r="I10" s="113">
        <f t="shared" ref="I10" si="1">SUM(I12+I147+I167)</f>
        <v>1039172438000</v>
      </c>
      <c r="J10" s="114">
        <f t="shared" si="0"/>
        <v>1049311615255</v>
      </c>
      <c r="K10" s="113">
        <f>SUM(K12+K147+K167)</f>
        <v>1136305222000.3025</v>
      </c>
      <c r="L10" s="113">
        <f t="shared" ref="L10:O10" si="2">SUM(L12+L147+L167)</f>
        <v>1269007530699.5481</v>
      </c>
      <c r="M10" s="113">
        <f>SUM(M12+M147+M167)</f>
        <v>1338992594871.4731</v>
      </c>
      <c r="N10" s="113">
        <f t="shared" si="2"/>
        <v>1407602905537.2253</v>
      </c>
      <c r="O10" s="113">
        <f t="shared" si="2"/>
        <v>1488813081736</v>
      </c>
      <c r="Q10" s="115"/>
      <c r="S10" s="116"/>
    </row>
    <row r="11" spans="1:19" s="83" customFormat="1" ht="18.75" thickBot="1">
      <c r="A11" s="111"/>
      <c r="B11" s="112"/>
      <c r="C11" s="113"/>
      <c r="D11" s="113"/>
      <c r="E11" s="113"/>
      <c r="F11" s="113"/>
      <c r="G11" s="113"/>
      <c r="H11" s="113"/>
      <c r="I11" s="113"/>
      <c r="J11" s="117"/>
      <c r="K11" s="118"/>
      <c r="L11" s="119"/>
      <c r="M11" s="119"/>
      <c r="N11" s="119"/>
      <c r="O11" s="119"/>
      <c r="Q11" s="119"/>
    </row>
    <row r="12" spans="1:19" ht="15.75">
      <c r="A12" s="111" t="s">
        <v>172</v>
      </c>
      <c r="B12" s="112" t="s">
        <v>173</v>
      </c>
      <c r="C12" s="113" t="e">
        <f t="shared" ref="C12:K12" si="3">SUM(C14+C29+C108+C120)</f>
        <v>#REF!</v>
      </c>
      <c r="D12" s="113">
        <f t="shared" si="3"/>
        <v>37923898939</v>
      </c>
      <c r="E12" s="113">
        <f t="shared" si="3"/>
        <v>47327328141</v>
      </c>
      <c r="F12" s="113">
        <f t="shared" si="3"/>
        <v>55211017361</v>
      </c>
      <c r="G12" s="113">
        <f t="shared" si="3"/>
        <v>63343494510</v>
      </c>
      <c r="H12" s="113">
        <f t="shared" si="3"/>
        <v>78514689212</v>
      </c>
      <c r="I12" s="113">
        <f t="shared" ref="I12" si="4">SUM(I14+I29+I108+I120)</f>
        <v>91966542000</v>
      </c>
      <c r="J12" s="114">
        <f t="shared" si="3"/>
        <v>97546648589</v>
      </c>
      <c r="K12" s="113">
        <f t="shared" si="3"/>
        <v>101922405000</v>
      </c>
      <c r="L12" s="113">
        <f t="shared" ref="L12:O12" si="5">SUM(L14+L29+L108+L120)</f>
        <v>121900487000</v>
      </c>
      <c r="M12" s="113">
        <f t="shared" si="5"/>
        <v>127171160000</v>
      </c>
      <c r="N12" s="113">
        <f t="shared" si="5"/>
        <v>115600114000</v>
      </c>
      <c r="O12" s="113">
        <f t="shared" si="5"/>
        <v>121035621250</v>
      </c>
      <c r="Q12" s="82">
        <f>O12/O10*100</f>
        <v>8.1296720679582499</v>
      </c>
    </row>
    <row r="13" spans="1:19" ht="15.75">
      <c r="A13" s="111"/>
      <c r="B13" s="112"/>
      <c r="C13" s="113"/>
      <c r="D13" s="113"/>
      <c r="E13" s="113"/>
      <c r="F13" s="113"/>
      <c r="G13" s="113"/>
      <c r="H13" s="113"/>
      <c r="I13" s="113"/>
      <c r="J13" s="114"/>
      <c r="K13" s="113"/>
      <c r="L13" s="113"/>
      <c r="M13" s="113"/>
      <c r="N13" s="113"/>
      <c r="O13" s="113"/>
      <c r="Q13" s="82">
        <f>N12/N10*100</f>
        <v>8.2125515331953718</v>
      </c>
    </row>
    <row r="14" spans="1:19" ht="15.75">
      <c r="A14" s="111" t="s">
        <v>174</v>
      </c>
      <c r="B14" s="112" t="s">
        <v>175</v>
      </c>
      <c r="C14" s="113">
        <f>SUM(C17+C18+C19+C20+C21+C25+C24+C26+C23)</f>
        <v>23576100000</v>
      </c>
      <c r="D14" s="113">
        <f t="shared" ref="D14:K14" si="6">SUM(D17:D26)</f>
        <v>5819499860</v>
      </c>
      <c r="E14" s="113">
        <f t="shared" si="6"/>
        <v>6194993566</v>
      </c>
      <c r="F14" s="113">
        <f t="shared" si="6"/>
        <v>7389439664</v>
      </c>
      <c r="G14" s="113">
        <f t="shared" si="6"/>
        <v>11212597968</v>
      </c>
      <c r="H14" s="113">
        <f t="shared" si="6"/>
        <v>11470230704</v>
      </c>
      <c r="I14" s="113">
        <f t="shared" ref="I14" si="7">SUM(I17:I26)</f>
        <v>23826100000</v>
      </c>
      <c r="J14" s="114">
        <f t="shared" si="6"/>
        <v>25583852565</v>
      </c>
      <c r="K14" s="113">
        <f t="shared" si="6"/>
        <v>25486000000</v>
      </c>
      <c r="L14" s="113">
        <f t="shared" ref="L14:O14" si="8">SUM(L17:L26)</f>
        <v>26769671000</v>
      </c>
      <c r="M14" s="113">
        <f t="shared" si="8"/>
        <v>27849314000</v>
      </c>
      <c r="N14" s="113">
        <f t="shared" si="8"/>
        <v>30234958000</v>
      </c>
      <c r="O14" s="113">
        <f t="shared" si="8"/>
        <v>31818635000</v>
      </c>
      <c r="Q14" s="82">
        <f>M12/M10*100</f>
        <v>9.4975252654184299</v>
      </c>
    </row>
    <row r="15" spans="1:19" s="126" customFormat="1" ht="15.75">
      <c r="A15" s="120"/>
      <c r="B15" s="121"/>
      <c r="C15" s="122"/>
      <c r="D15" s="122"/>
      <c r="E15" s="123"/>
      <c r="F15" s="123"/>
      <c r="G15" s="123"/>
      <c r="H15" s="123"/>
      <c r="I15" s="122"/>
      <c r="J15" s="124"/>
      <c r="K15" s="125"/>
      <c r="L15" s="122"/>
      <c r="M15" s="122"/>
      <c r="N15" s="122"/>
      <c r="O15" s="122"/>
      <c r="Q15" s="82">
        <f>L12/L10*100</f>
        <v>9.6059703391044202</v>
      </c>
    </row>
    <row r="16" spans="1:19" ht="15.75">
      <c r="A16" s="111"/>
      <c r="B16" s="112"/>
      <c r="C16" s="113"/>
      <c r="D16" s="113"/>
      <c r="E16" s="125"/>
      <c r="F16" s="125"/>
      <c r="G16" s="125"/>
      <c r="H16" s="125"/>
      <c r="I16" s="127"/>
      <c r="J16" s="128"/>
      <c r="K16" s="129"/>
      <c r="L16" s="130"/>
      <c r="M16" s="130"/>
      <c r="N16" s="130"/>
      <c r="O16" s="130"/>
      <c r="Q16" s="82">
        <f>K12/K10*100</f>
        <v>8.969632720738554</v>
      </c>
    </row>
    <row r="17" spans="1:15" ht="15.75">
      <c r="A17" s="111" t="s">
        <v>176</v>
      </c>
      <c r="B17" s="131" t="s">
        <v>177</v>
      </c>
      <c r="C17" s="132">
        <v>80500000</v>
      </c>
      <c r="D17" s="133">
        <v>61383000</v>
      </c>
      <c r="E17" s="133">
        <v>68400000</v>
      </c>
      <c r="F17" s="133">
        <v>73200000</v>
      </c>
      <c r="G17" s="133">
        <v>75450000</v>
      </c>
      <c r="H17" s="133">
        <v>79200000</v>
      </c>
      <c r="I17" s="134">
        <v>80500000</v>
      </c>
      <c r="J17" s="135">
        <v>90955000</v>
      </c>
      <c r="K17" s="133">
        <v>90000000</v>
      </c>
      <c r="L17" s="133">
        <v>92000000</v>
      </c>
      <c r="M17" s="133">
        <v>94000000</v>
      </c>
      <c r="N17" s="133">
        <v>96000000</v>
      </c>
      <c r="O17" s="133">
        <v>98533000</v>
      </c>
    </row>
    <row r="18" spans="1:15" ht="15.75">
      <c r="A18" s="111" t="s">
        <v>178</v>
      </c>
      <c r="B18" s="131" t="s">
        <v>179</v>
      </c>
      <c r="C18" s="132">
        <v>107600000</v>
      </c>
      <c r="D18" s="133">
        <v>82482830</v>
      </c>
      <c r="E18" s="133">
        <v>91116105</v>
      </c>
      <c r="F18" s="133">
        <v>100920640</v>
      </c>
      <c r="G18" s="133">
        <v>104715600</v>
      </c>
      <c r="H18" s="133">
        <v>107512100</v>
      </c>
      <c r="I18" s="134">
        <v>107600000</v>
      </c>
      <c r="J18" s="135">
        <v>106443500</v>
      </c>
      <c r="K18" s="133">
        <v>108500000</v>
      </c>
      <c r="L18" s="133">
        <v>126443000</v>
      </c>
      <c r="M18" s="133">
        <v>133064000</v>
      </c>
      <c r="N18" s="133">
        <v>139685000</v>
      </c>
      <c r="O18" s="133">
        <v>146306000</v>
      </c>
    </row>
    <row r="19" spans="1:15" ht="15.75">
      <c r="A19" s="111" t="s">
        <v>180</v>
      </c>
      <c r="B19" s="131" t="s">
        <v>181</v>
      </c>
      <c r="C19" s="132">
        <v>10500000</v>
      </c>
      <c r="D19" s="133">
        <v>8302500</v>
      </c>
      <c r="E19" s="133">
        <v>9045000</v>
      </c>
      <c r="F19" s="133">
        <v>8020000</v>
      </c>
      <c r="G19" s="133">
        <v>9132000</v>
      </c>
      <c r="H19" s="133">
        <v>15152000</v>
      </c>
      <c r="I19" s="134">
        <v>10500000</v>
      </c>
      <c r="J19" s="135">
        <v>19359500</v>
      </c>
      <c r="K19" s="133">
        <v>14000000</v>
      </c>
      <c r="L19" s="133">
        <v>8785000</v>
      </c>
      <c r="M19" s="133">
        <v>5236000</v>
      </c>
      <c r="N19" s="133">
        <v>7688000</v>
      </c>
      <c r="O19" s="133">
        <v>7139000</v>
      </c>
    </row>
    <row r="20" spans="1:15" ht="15.75">
      <c r="A20" s="111" t="s">
        <v>182</v>
      </c>
      <c r="B20" s="131" t="s">
        <v>183</v>
      </c>
      <c r="C20" s="132">
        <v>415000000</v>
      </c>
      <c r="D20" s="133">
        <v>137206538</v>
      </c>
      <c r="E20" s="133">
        <v>150537563</v>
      </c>
      <c r="F20" s="133">
        <v>248598991</v>
      </c>
      <c r="G20" s="133">
        <v>409234627</v>
      </c>
      <c r="H20" s="133">
        <v>481685521</v>
      </c>
      <c r="I20" s="134">
        <v>415000000</v>
      </c>
      <c r="J20" s="135">
        <v>427230424</v>
      </c>
      <c r="K20" s="133">
        <v>450000000</v>
      </c>
      <c r="L20" s="133">
        <v>431130000</v>
      </c>
      <c r="M20" s="133">
        <v>459622000</v>
      </c>
      <c r="N20" s="133">
        <v>488113000</v>
      </c>
      <c r="O20" s="133">
        <v>516605000</v>
      </c>
    </row>
    <row r="21" spans="1:15" s="83" customFormat="1" ht="15.75">
      <c r="A21" s="111" t="s">
        <v>184</v>
      </c>
      <c r="B21" s="131" t="s">
        <v>185</v>
      </c>
      <c r="C21" s="132">
        <v>8250000000</v>
      </c>
      <c r="D21" s="133">
        <v>5519225692</v>
      </c>
      <c r="E21" s="133">
        <v>5871625338</v>
      </c>
      <c r="F21" s="133">
        <v>6955508873</v>
      </c>
      <c r="G21" s="133">
        <v>7858158292</v>
      </c>
      <c r="H21" s="133">
        <v>8420523479</v>
      </c>
      <c r="I21" s="134">
        <v>8500000000</v>
      </c>
      <c r="J21" s="133">
        <v>9676396653</v>
      </c>
      <c r="K21" s="133">
        <v>9600000000</v>
      </c>
      <c r="L21" s="133">
        <v>9700000000</v>
      </c>
      <c r="M21" s="133">
        <v>10000000000</v>
      </c>
      <c r="N21" s="133">
        <v>11000000000</v>
      </c>
      <c r="O21" s="133">
        <v>11500000000</v>
      </c>
    </row>
    <row r="22" spans="1:15" s="83" customFormat="1" ht="15.75">
      <c r="A22" s="111" t="s">
        <v>186</v>
      </c>
      <c r="B22" s="136" t="s">
        <v>187</v>
      </c>
      <c r="C22" s="132"/>
      <c r="D22" s="133">
        <v>10899300</v>
      </c>
      <c r="E22" s="133">
        <v>4269560</v>
      </c>
      <c r="F22" s="133">
        <v>3191160</v>
      </c>
      <c r="G22" s="133">
        <v>1425000</v>
      </c>
      <c r="H22" s="133">
        <v>0</v>
      </c>
      <c r="I22" s="134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</row>
    <row r="23" spans="1:15" s="83" customFormat="1" ht="28.5">
      <c r="A23" s="111" t="s">
        <v>188</v>
      </c>
      <c r="B23" s="137" t="s">
        <v>189</v>
      </c>
      <c r="C23" s="138">
        <v>2500000000</v>
      </c>
      <c r="D23" s="139">
        <v>0</v>
      </c>
      <c r="E23" s="139">
        <v>0</v>
      </c>
      <c r="F23" s="139">
        <v>0</v>
      </c>
      <c r="G23" s="139">
        <v>2644503743</v>
      </c>
      <c r="H23" s="139">
        <v>2176838281</v>
      </c>
      <c r="I23" s="140">
        <v>2500000000</v>
      </c>
      <c r="J23" s="139">
        <v>2577871352</v>
      </c>
      <c r="K23" s="139">
        <v>2500000000</v>
      </c>
      <c r="L23" s="139">
        <v>2708602000</v>
      </c>
      <c r="M23" s="139">
        <v>2848900000</v>
      </c>
      <c r="N23" s="139">
        <v>2989197000</v>
      </c>
      <c r="O23" s="139">
        <v>3129495000</v>
      </c>
    </row>
    <row r="24" spans="1:15" ht="15.75">
      <c r="A24" s="111" t="s">
        <v>190</v>
      </c>
      <c r="B24" s="136" t="s">
        <v>191</v>
      </c>
      <c r="C24" s="141">
        <v>200000000</v>
      </c>
      <c r="D24" s="133">
        <v>0</v>
      </c>
      <c r="E24" s="133">
        <v>0</v>
      </c>
      <c r="F24" s="133">
        <v>0</v>
      </c>
      <c r="G24" s="133">
        <v>109978706</v>
      </c>
      <c r="H24" s="133">
        <v>189319323</v>
      </c>
      <c r="I24" s="134">
        <v>200000000</v>
      </c>
      <c r="J24" s="135">
        <v>275868462</v>
      </c>
      <c r="K24" s="133">
        <v>200000000</v>
      </c>
      <c r="L24" s="133">
        <v>170090000</v>
      </c>
      <c r="M24" s="133">
        <v>176262000</v>
      </c>
      <c r="N24" s="133">
        <v>182435000</v>
      </c>
      <c r="O24" s="133">
        <v>188608000</v>
      </c>
    </row>
    <row r="25" spans="1:15" ht="15.75">
      <c r="A25" s="111" t="s">
        <v>192</v>
      </c>
      <c r="B25" s="136" t="s">
        <v>193</v>
      </c>
      <c r="C25" s="141">
        <v>12500000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>
        <v>12500000</v>
      </c>
      <c r="J25" s="144">
        <v>23336406</v>
      </c>
      <c r="K25" s="142">
        <v>23500000</v>
      </c>
      <c r="L25" s="142">
        <v>24000000</v>
      </c>
      <c r="M25" s="142">
        <v>24500000</v>
      </c>
      <c r="N25" s="142">
        <v>25000000</v>
      </c>
      <c r="O25" s="142">
        <v>26000000</v>
      </c>
    </row>
    <row r="26" spans="1:15" s="83" customFormat="1" ht="15.75">
      <c r="A26" s="111" t="s">
        <v>194</v>
      </c>
      <c r="B26" s="136" t="s">
        <v>195</v>
      </c>
      <c r="C26" s="141">
        <v>12000000000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4">
        <v>12000000000</v>
      </c>
      <c r="J26" s="133">
        <v>12386391268</v>
      </c>
      <c r="K26" s="133">
        <v>12500000000</v>
      </c>
      <c r="L26" s="133">
        <v>13508621000</v>
      </c>
      <c r="M26" s="133">
        <v>14107730000</v>
      </c>
      <c r="N26" s="133">
        <v>15306840000</v>
      </c>
      <c r="O26" s="133">
        <v>16205949000</v>
      </c>
    </row>
    <row r="27" spans="1:15" ht="15">
      <c r="A27" s="145"/>
      <c r="B27" s="131"/>
      <c r="C27" s="146"/>
      <c r="D27" s="133"/>
      <c r="E27" s="133"/>
      <c r="F27" s="133"/>
      <c r="G27" s="133"/>
      <c r="H27" s="133"/>
      <c r="I27" s="134"/>
      <c r="J27" s="135"/>
      <c r="K27" s="133"/>
      <c r="L27" s="133"/>
      <c r="M27" s="133"/>
      <c r="N27" s="133"/>
      <c r="O27" s="133"/>
    </row>
    <row r="28" spans="1:15" ht="15">
      <c r="A28" s="145"/>
      <c r="B28" s="131"/>
      <c r="C28" s="146"/>
      <c r="D28" s="133"/>
      <c r="E28" s="133"/>
      <c r="F28" s="133"/>
      <c r="G28" s="133"/>
      <c r="H28" s="133"/>
      <c r="I28" s="134"/>
      <c r="J28" s="135"/>
      <c r="K28" s="133"/>
      <c r="L28" s="133"/>
      <c r="M28" s="133"/>
      <c r="N28" s="133"/>
      <c r="O28" s="133"/>
    </row>
    <row r="29" spans="1:15" ht="15.75">
      <c r="A29" s="111" t="s">
        <v>196</v>
      </c>
      <c r="B29" s="112" t="s">
        <v>197</v>
      </c>
      <c r="C29" s="113" t="e">
        <f>SUM(C31+C67+C98)</f>
        <v>#REF!</v>
      </c>
      <c r="D29" s="113">
        <f>SUM(D31+D67+D98)</f>
        <v>20067480541</v>
      </c>
      <c r="E29" s="113">
        <f t="shared" ref="E29:O29" si="9">SUM(E31+E67+E98)</f>
        <v>25974545346</v>
      </c>
      <c r="F29" s="113">
        <f t="shared" si="9"/>
        <v>33365149779</v>
      </c>
      <c r="G29" s="113">
        <f t="shared" si="9"/>
        <v>37984477775</v>
      </c>
      <c r="H29" s="113">
        <f t="shared" si="9"/>
        <v>14038793022</v>
      </c>
      <c r="I29" s="113">
        <f t="shared" si="9"/>
        <v>14656229000</v>
      </c>
      <c r="J29" s="114">
        <f t="shared" si="9"/>
        <v>15462047951</v>
      </c>
      <c r="K29" s="113">
        <f t="shared" si="9"/>
        <v>24845905000</v>
      </c>
      <c r="L29" s="113">
        <f t="shared" si="9"/>
        <v>25077816000</v>
      </c>
      <c r="M29" s="113">
        <f t="shared" si="9"/>
        <v>25391186000</v>
      </c>
      <c r="N29" s="113">
        <f t="shared" si="9"/>
        <v>25752418000</v>
      </c>
      <c r="O29" s="113">
        <f t="shared" si="9"/>
        <v>26097229250</v>
      </c>
    </row>
    <row r="30" spans="1:15" ht="15.75">
      <c r="A30" s="111"/>
      <c r="B30" s="112"/>
      <c r="C30" s="113"/>
      <c r="D30" s="113"/>
      <c r="E30" s="113"/>
      <c r="F30" s="113"/>
      <c r="G30" s="113"/>
      <c r="H30" s="113"/>
      <c r="I30" s="113"/>
      <c r="J30" s="114"/>
      <c r="K30" s="113"/>
      <c r="L30" s="113"/>
      <c r="M30" s="113"/>
      <c r="N30" s="113"/>
      <c r="O30" s="113"/>
    </row>
    <row r="31" spans="1:15" ht="15.75">
      <c r="A31" s="111" t="s">
        <v>198</v>
      </c>
      <c r="B31" s="112" t="s">
        <v>199</v>
      </c>
      <c r="C31" s="113" t="e">
        <f>C33+C43+C45+C49+C51+C56+C63+C64+C65</f>
        <v>#REF!</v>
      </c>
      <c r="D31" s="113">
        <f>D33+D43+D45+D49+D51+D56+D58+D60+D63+D64+D65</f>
        <v>16537881799</v>
      </c>
      <c r="E31" s="113">
        <f t="shared" ref="E31:O31" si="10">E33+E43+E45+E49+E51+E56+E58+E60+E63+E64+E65</f>
        <v>22209724510</v>
      </c>
      <c r="F31" s="113">
        <f t="shared" si="10"/>
        <v>30030761046</v>
      </c>
      <c r="G31" s="113">
        <f t="shared" si="10"/>
        <v>34756402839</v>
      </c>
      <c r="H31" s="113">
        <f t="shared" si="10"/>
        <v>11992772661</v>
      </c>
      <c r="I31" s="113">
        <f t="shared" si="10"/>
        <v>12502689000</v>
      </c>
      <c r="J31" s="114">
        <f t="shared" si="10"/>
        <v>13364656479</v>
      </c>
      <c r="K31" s="113">
        <f t="shared" si="10"/>
        <v>21068880000</v>
      </c>
      <c r="L31" s="113">
        <f t="shared" si="10"/>
        <v>21272427000</v>
      </c>
      <c r="M31" s="113">
        <f t="shared" si="10"/>
        <v>21455652000</v>
      </c>
      <c r="N31" s="113">
        <f t="shared" si="10"/>
        <v>21682188000</v>
      </c>
      <c r="O31" s="113">
        <f t="shared" si="10"/>
        <v>21884902250</v>
      </c>
    </row>
    <row r="32" spans="1:15" ht="15.75">
      <c r="A32" s="111"/>
      <c r="B32" s="112"/>
      <c r="C32" s="113"/>
      <c r="D32" s="113"/>
      <c r="E32" s="113"/>
      <c r="F32" s="113"/>
      <c r="G32" s="113"/>
      <c r="H32" s="113"/>
      <c r="I32" s="113"/>
      <c r="J32" s="114"/>
      <c r="K32" s="113"/>
      <c r="L32" s="113"/>
      <c r="M32" s="113"/>
      <c r="N32" s="113"/>
      <c r="O32" s="113"/>
    </row>
    <row r="33" spans="1:15" ht="15.75">
      <c r="A33" s="111" t="s">
        <v>200</v>
      </c>
      <c r="B33" s="112" t="s">
        <v>201</v>
      </c>
      <c r="C33" s="147">
        <f>SUM(C34:C39)</f>
        <v>7355713066</v>
      </c>
      <c r="D33" s="147">
        <f>SUM(D34:D41)</f>
        <v>13954908814</v>
      </c>
      <c r="E33" s="147">
        <f t="shared" ref="E33:O33" si="11">SUM(E34:E41)</f>
        <v>18847006185</v>
      </c>
      <c r="F33" s="147">
        <f t="shared" si="11"/>
        <v>26005350871</v>
      </c>
      <c r="G33" s="147">
        <f t="shared" si="11"/>
        <v>31083117852</v>
      </c>
      <c r="H33" s="147">
        <f t="shared" si="11"/>
        <v>6211353416</v>
      </c>
      <c r="I33" s="147">
        <f t="shared" si="11"/>
        <v>7355713000</v>
      </c>
      <c r="J33" s="148">
        <f t="shared" si="11"/>
        <v>7237747112</v>
      </c>
      <c r="K33" s="147">
        <f t="shared" si="11"/>
        <v>17305714000</v>
      </c>
      <c r="L33" s="147">
        <f t="shared" si="11"/>
        <v>17305714000</v>
      </c>
      <c r="M33" s="147">
        <f t="shared" si="11"/>
        <v>17305714000</v>
      </c>
      <c r="N33" s="147">
        <f t="shared" si="11"/>
        <v>17305714000</v>
      </c>
      <c r="O33" s="147">
        <f t="shared" si="11"/>
        <v>17305714000</v>
      </c>
    </row>
    <row r="34" spans="1:15" ht="15">
      <c r="A34" s="145" t="s">
        <v>202</v>
      </c>
      <c r="B34" s="136" t="s">
        <v>203</v>
      </c>
      <c r="C34" s="149">
        <v>4490000000</v>
      </c>
      <c r="D34" s="150">
        <v>1462963550</v>
      </c>
      <c r="E34" s="150">
        <v>1641792792</v>
      </c>
      <c r="F34" s="150">
        <v>3306303526</v>
      </c>
      <c r="G34" s="150">
        <v>4039733900</v>
      </c>
      <c r="H34" s="151">
        <v>4380238650</v>
      </c>
      <c r="I34" s="152">
        <v>4490000000</v>
      </c>
      <c r="J34" s="153">
        <v>5210480500</v>
      </c>
      <c r="K34" s="151">
        <v>2500000000</v>
      </c>
      <c r="L34" s="151">
        <v>2500000000</v>
      </c>
      <c r="M34" s="151">
        <v>2500000000</v>
      </c>
      <c r="N34" s="151">
        <v>2500000000</v>
      </c>
      <c r="O34" s="151">
        <v>2500000000</v>
      </c>
    </row>
    <row r="35" spans="1:15" ht="30">
      <c r="A35" s="145" t="s">
        <v>202</v>
      </c>
      <c r="B35" s="154" t="s">
        <v>204</v>
      </c>
      <c r="C35" s="155">
        <v>0</v>
      </c>
      <c r="D35" s="156">
        <v>65910000</v>
      </c>
      <c r="E35" s="156">
        <v>66640000</v>
      </c>
      <c r="F35" s="156">
        <v>137816000</v>
      </c>
      <c r="G35" s="156">
        <v>116938000</v>
      </c>
      <c r="H35" s="142">
        <v>0</v>
      </c>
      <c r="I35" s="143">
        <v>0</v>
      </c>
      <c r="J35" s="144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1:15" ht="30">
      <c r="A36" s="157" t="s">
        <v>205</v>
      </c>
      <c r="B36" s="136" t="s">
        <v>206</v>
      </c>
      <c r="C36" s="149">
        <v>37500000</v>
      </c>
      <c r="D36" s="158">
        <v>0</v>
      </c>
      <c r="E36" s="158">
        <v>0</v>
      </c>
      <c r="F36" s="158">
        <v>0</v>
      </c>
      <c r="G36" s="158">
        <v>10250000</v>
      </c>
      <c r="H36" s="133">
        <v>12560000</v>
      </c>
      <c r="I36" s="134">
        <v>37500000</v>
      </c>
      <c r="J36" s="135">
        <v>40518000</v>
      </c>
      <c r="K36" s="133">
        <v>41250000</v>
      </c>
      <c r="L36" s="133">
        <v>41250000</v>
      </c>
      <c r="M36" s="133">
        <v>41250000</v>
      </c>
      <c r="N36" s="133">
        <v>41250000</v>
      </c>
      <c r="O36" s="133">
        <v>41250000</v>
      </c>
    </row>
    <row r="37" spans="1:15" ht="15">
      <c r="A37" s="157"/>
      <c r="B37" s="136" t="s">
        <v>207</v>
      </c>
      <c r="C37" s="149"/>
      <c r="D37" s="158"/>
      <c r="E37" s="158"/>
      <c r="F37" s="158"/>
      <c r="G37" s="158">
        <v>40225000</v>
      </c>
      <c r="H37" s="133">
        <v>0</v>
      </c>
      <c r="I37" s="134"/>
      <c r="J37" s="135"/>
      <c r="K37" s="133"/>
      <c r="L37" s="133"/>
      <c r="M37" s="133"/>
      <c r="N37" s="133"/>
      <c r="O37" s="133"/>
    </row>
    <row r="38" spans="1:15" ht="30">
      <c r="A38" s="145" t="s">
        <v>208</v>
      </c>
      <c r="B38" s="136" t="s">
        <v>209</v>
      </c>
      <c r="C38" s="149">
        <v>1500000000</v>
      </c>
      <c r="D38" s="156">
        <v>0</v>
      </c>
      <c r="E38" s="156">
        <v>0</v>
      </c>
      <c r="F38" s="156">
        <v>0</v>
      </c>
      <c r="G38" s="156">
        <v>0</v>
      </c>
      <c r="H38" s="142">
        <v>1044500000</v>
      </c>
      <c r="I38" s="143">
        <v>1500000000</v>
      </c>
      <c r="J38" s="144">
        <v>865300000</v>
      </c>
      <c r="K38" s="142">
        <v>750000000</v>
      </c>
      <c r="L38" s="142">
        <v>750000000</v>
      </c>
      <c r="M38" s="142">
        <v>750000000</v>
      </c>
      <c r="N38" s="142">
        <v>750000000</v>
      </c>
      <c r="O38" s="142">
        <v>750000000</v>
      </c>
    </row>
    <row r="39" spans="1:15" ht="15">
      <c r="A39" s="145" t="s">
        <v>210</v>
      </c>
      <c r="B39" s="136" t="s">
        <v>211</v>
      </c>
      <c r="C39" s="149">
        <v>1328213066</v>
      </c>
      <c r="D39" s="156">
        <v>0</v>
      </c>
      <c r="E39" s="156">
        <v>0</v>
      </c>
      <c r="F39" s="156">
        <v>0</v>
      </c>
      <c r="G39" s="156">
        <v>0</v>
      </c>
      <c r="H39" s="142">
        <v>774054766</v>
      </c>
      <c r="I39" s="143">
        <v>1328213000</v>
      </c>
      <c r="J39" s="144">
        <v>1121448612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</row>
    <row r="40" spans="1:15" ht="15">
      <c r="A40" s="145"/>
      <c r="B40" s="136" t="s">
        <v>212</v>
      </c>
      <c r="C40" s="149"/>
      <c r="D40" s="156">
        <v>0</v>
      </c>
      <c r="E40" s="156">
        <v>0</v>
      </c>
      <c r="F40" s="156">
        <v>0</v>
      </c>
      <c r="G40" s="156">
        <v>0</v>
      </c>
      <c r="H40" s="142">
        <v>0</v>
      </c>
      <c r="I40" s="143">
        <v>0</v>
      </c>
      <c r="J40" s="144">
        <v>0</v>
      </c>
      <c r="K40" s="159">
        <f>14014463950+50</f>
        <v>14014464000</v>
      </c>
      <c r="L40" s="159">
        <f t="shared" ref="L40:O40" si="12">14014463950+50</f>
        <v>14014464000</v>
      </c>
      <c r="M40" s="159">
        <f t="shared" si="12"/>
        <v>14014464000</v>
      </c>
      <c r="N40" s="159">
        <f t="shared" si="12"/>
        <v>14014464000</v>
      </c>
      <c r="O40" s="159">
        <f t="shared" si="12"/>
        <v>14014464000</v>
      </c>
    </row>
    <row r="41" spans="1:15" ht="15">
      <c r="A41" s="145"/>
      <c r="B41" s="136" t="s">
        <v>213</v>
      </c>
      <c r="C41" s="149"/>
      <c r="D41" s="156">
        <v>12426035264</v>
      </c>
      <c r="E41" s="156">
        <v>17138573393</v>
      </c>
      <c r="F41" s="156">
        <v>22561231345</v>
      </c>
      <c r="G41" s="156">
        <f>25056669204+1819301748</f>
        <v>26875970952</v>
      </c>
      <c r="H41" s="142">
        <v>0</v>
      </c>
      <c r="I41" s="143"/>
      <c r="J41" s="144"/>
      <c r="K41" s="142"/>
      <c r="L41" s="142"/>
      <c r="M41" s="142"/>
      <c r="N41" s="142"/>
      <c r="O41" s="142"/>
    </row>
    <row r="42" spans="1:15" ht="15">
      <c r="A42" s="145"/>
      <c r="B42" s="136"/>
      <c r="C42" s="149"/>
      <c r="D42" s="156"/>
      <c r="E42" s="156"/>
      <c r="F42" s="156"/>
      <c r="G42" s="156"/>
      <c r="H42" s="142"/>
      <c r="I42" s="143"/>
      <c r="J42" s="144"/>
      <c r="K42" s="142"/>
      <c r="L42" s="142"/>
      <c r="M42" s="142"/>
      <c r="N42" s="142"/>
      <c r="O42" s="142"/>
    </row>
    <row r="43" spans="1:15" s="83" customFormat="1" ht="31.5">
      <c r="A43" s="160" t="s">
        <v>214</v>
      </c>
      <c r="B43" s="161" t="s">
        <v>215</v>
      </c>
      <c r="C43" s="162">
        <v>500000000</v>
      </c>
      <c r="D43" s="147">
        <v>400360500</v>
      </c>
      <c r="E43" s="147">
        <v>396139000</v>
      </c>
      <c r="F43" s="147">
        <v>478549500</v>
      </c>
      <c r="G43" s="147">
        <v>504317000</v>
      </c>
      <c r="H43" s="147">
        <v>522317900</v>
      </c>
      <c r="I43" s="163">
        <v>500000000</v>
      </c>
      <c r="J43" s="147">
        <v>745311400</v>
      </c>
      <c r="K43" s="147">
        <v>600000000</v>
      </c>
      <c r="L43" s="147">
        <f>+K43*1.1</f>
        <v>660000000</v>
      </c>
      <c r="M43" s="147">
        <f>+L43*1.05</f>
        <v>693000000</v>
      </c>
      <c r="N43" s="147">
        <f>+M43*1.1</f>
        <v>762300000.00000012</v>
      </c>
      <c r="O43" s="147">
        <f>+N43*1.05+250</f>
        <v>800415250.00000012</v>
      </c>
    </row>
    <row r="44" spans="1:15" ht="15.75">
      <c r="A44" s="160"/>
      <c r="B44" s="161"/>
      <c r="C44" s="162"/>
      <c r="D44" s="147"/>
      <c r="E44" s="147"/>
      <c r="F44" s="147"/>
      <c r="G44" s="147"/>
      <c r="H44" s="147"/>
      <c r="I44" s="163"/>
      <c r="J44" s="148"/>
      <c r="K44" s="147"/>
      <c r="L44" s="147"/>
      <c r="M44" s="147"/>
      <c r="N44" s="147"/>
      <c r="O44" s="147"/>
    </row>
    <row r="45" spans="1:15" ht="31.5">
      <c r="A45" s="160" t="s">
        <v>216</v>
      </c>
      <c r="B45" s="164" t="s">
        <v>217</v>
      </c>
      <c r="C45" s="165">
        <v>365000000</v>
      </c>
      <c r="D45" s="147">
        <f>+D46+D47</f>
        <v>363802500</v>
      </c>
      <c r="E45" s="147">
        <f t="shared" ref="E45:O45" si="13">+E46+E47</f>
        <v>1162839600</v>
      </c>
      <c r="F45" s="147">
        <f t="shared" si="13"/>
        <v>1448257500</v>
      </c>
      <c r="G45" s="147">
        <f t="shared" si="13"/>
        <v>1317813000</v>
      </c>
      <c r="H45" s="147">
        <f t="shared" si="13"/>
        <v>1236500000</v>
      </c>
      <c r="I45" s="147">
        <f t="shared" si="13"/>
        <v>365000000</v>
      </c>
      <c r="J45" s="148">
        <f t="shared" si="13"/>
        <v>773030000</v>
      </c>
      <c r="K45" s="147">
        <f t="shared" si="13"/>
        <v>353140000</v>
      </c>
      <c r="L45" s="147">
        <f t="shared" si="13"/>
        <v>370797000</v>
      </c>
      <c r="M45" s="147">
        <f t="shared" si="13"/>
        <v>389337000</v>
      </c>
      <c r="N45" s="147">
        <f t="shared" si="13"/>
        <v>408804000</v>
      </c>
      <c r="O45" s="147">
        <f t="shared" si="13"/>
        <v>429246000</v>
      </c>
    </row>
    <row r="46" spans="1:15" s="83" customFormat="1" ht="15">
      <c r="A46" s="145" t="s">
        <v>218</v>
      </c>
      <c r="B46" s="166" t="s">
        <v>219</v>
      </c>
      <c r="C46" s="167"/>
      <c r="D46" s="133">
        <v>208129000</v>
      </c>
      <c r="E46" s="133">
        <v>760462600</v>
      </c>
      <c r="F46" s="133">
        <v>1420152500</v>
      </c>
      <c r="G46" s="133">
        <v>1287263000</v>
      </c>
      <c r="H46" s="133">
        <v>1195410000</v>
      </c>
      <c r="I46" s="134">
        <v>330000000</v>
      </c>
      <c r="J46" s="133">
        <v>721270000</v>
      </c>
      <c r="K46" s="133">
        <v>336000000</v>
      </c>
      <c r="L46" s="133">
        <f t="shared" ref="L46:N47" si="14">+K46*1.05</f>
        <v>352800000</v>
      </c>
      <c r="M46" s="133">
        <f t="shared" si="14"/>
        <v>370440000</v>
      </c>
      <c r="N46" s="133">
        <f t="shared" si="14"/>
        <v>388962000</v>
      </c>
      <c r="O46" s="133">
        <f>+N46*1.05+900</f>
        <v>408411000</v>
      </c>
    </row>
    <row r="47" spans="1:15" s="83" customFormat="1" ht="15">
      <c r="A47" s="145" t="s">
        <v>220</v>
      </c>
      <c r="B47" s="166" t="s">
        <v>221</v>
      </c>
      <c r="C47" s="167"/>
      <c r="D47" s="133">
        <v>155673500</v>
      </c>
      <c r="E47" s="133">
        <v>402377000</v>
      </c>
      <c r="F47" s="133">
        <v>28105000</v>
      </c>
      <c r="G47" s="133">
        <v>30550000</v>
      </c>
      <c r="H47" s="133">
        <v>41090000</v>
      </c>
      <c r="I47" s="134">
        <v>35000000</v>
      </c>
      <c r="J47" s="133">
        <v>51760000</v>
      </c>
      <c r="K47" s="133">
        <v>17140000</v>
      </c>
      <c r="L47" s="133">
        <f t="shared" si="14"/>
        <v>17997000</v>
      </c>
      <c r="M47" s="133">
        <f>+L47*1.05+150</f>
        <v>18897000</v>
      </c>
      <c r="N47" s="133">
        <f>+M47*1.05+150</f>
        <v>19842000</v>
      </c>
      <c r="O47" s="133">
        <f>+N47*1.05+900</f>
        <v>20835000</v>
      </c>
    </row>
    <row r="48" spans="1:15" ht="15">
      <c r="A48" s="145"/>
      <c r="B48" s="166"/>
      <c r="C48" s="167"/>
      <c r="D48" s="158"/>
      <c r="E48" s="158"/>
      <c r="F48" s="158"/>
      <c r="G48" s="158"/>
      <c r="H48" s="133"/>
      <c r="I48" s="134"/>
      <c r="J48" s="135"/>
      <c r="K48" s="133"/>
      <c r="L48" s="133"/>
      <c r="M48" s="133"/>
      <c r="N48" s="133"/>
      <c r="O48" s="133"/>
    </row>
    <row r="49" spans="1:15" s="173" customFormat="1" ht="31.5">
      <c r="A49" s="111" t="s">
        <v>222</v>
      </c>
      <c r="B49" s="168" t="s">
        <v>223</v>
      </c>
      <c r="C49" s="169" t="e">
        <f>#REF!+#REF!+#REF!+#REF!</f>
        <v>#REF!</v>
      </c>
      <c r="D49" s="170">
        <v>8754000</v>
      </c>
      <c r="E49" s="170">
        <v>4436000</v>
      </c>
      <c r="F49" s="170">
        <v>2914000</v>
      </c>
      <c r="G49" s="170">
        <v>5382000</v>
      </c>
      <c r="H49" s="170">
        <v>11798000</v>
      </c>
      <c r="I49" s="171">
        <v>2900000</v>
      </c>
      <c r="J49" s="172">
        <v>6934000</v>
      </c>
      <c r="K49" s="170">
        <v>4000000</v>
      </c>
      <c r="L49" s="170">
        <v>4000000</v>
      </c>
      <c r="M49" s="170">
        <v>4000000</v>
      </c>
      <c r="N49" s="170">
        <v>4000000</v>
      </c>
      <c r="O49" s="170">
        <v>4000000</v>
      </c>
    </row>
    <row r="50" spans="1:15" ht="15.75">
      <c r="A50" s="111"/>
      <c r="B50" s="174"/>
      <c r="C50" s="175"/>
      <c r="D50" s="147"/>
      <c r="E50" s="147"/>
      <c r="F50" s="147"/>
      <c r="G50" s="147"/>
      <c r="H50" s="147"/>
      <c r="I50" s="163"/>
      <c r="J50" s="148"/>
      <c r="K50" s="147"/>
      <c r="L50" s="147"/>
      <c r="M50" s="147"/>
      <c r="N50" s="147"/>
      <c r="O50" s="147"/>
    </row>
    <row r="51" spans="1:15" ht="31.5">
      <c r="A51" s="111" t="s">
        <v>224</v>
      </c>
      <c r="B51" s="176" t="s">
        <v>225</v>
      </c>
      <c r="C51" s="147">
        <f t="shared" ref="C51:O51" si="15">C52+C54</f>
        <v>488226000</v>
      </c>
      <c r="D51" s="147">
        <f t="shared" si="15"/>
        <v>328897500</v>
      </c>
      <c r="E51" s="147">
        <f t="shared" si="15"/>
        <v>275620000</v>
      </c>
      <c r="F51" s="147">
        <f t="shared" si="15"/>
        <v>293755000</v>
      </c>
      <c r="G51" s="147">
        <v>330698000</v>
      </c>
      <c r="H51" s="147">
        <f t="shared" si="15"/>
        <v>426640100</v>
      </c>
      <c r="I51" s="147">
        <f t="shared" si="15"/>
        <v>488226000</v>
      </c>
      <c r="J51" s="148">
        <f t="shared" si="15"/>
        <v>482708000</v>
      </c>
      <c r="K51" s="147">
        <f t="shared" si="15"/>
        <v>488226000</v>
      </c>
      <c r="L51" s="147">
        <f t="shared" si="15"/>
        <v>498226000</v>
      </c>
      <c r="M51" s="147">
        <f t="shared" si="15"/>
        <v>508226000</v>
      </c>
      <c r="N51" s="147">
        <f t="shared" si="15"/>
        <v>518226000</v>
      </c>
      <c r="O51" s="147">
        <f t="shared" si="15"/>
        <v>528226000</v>
      </c>
    </row>
    <row r="52" spans="1:15" s="182" customFormat="1" ht="30">
      <c r="A52" s="177" t="s">
        <v>224</v>
      </c>
      <c r="B52" s="178" t="s">
        <v>225</v>
      </c>
      <c r="C52" s="179">
        <v>488226000</v>
      </c>
      <c r="D52" s="180">
        <v>328897500</v>
      </c>
      <c r="E52" s="180">
        <v>275620000</v>
      </c>
      <c r="F52" s="180">
        <v>293755000</v>
      </c>
      <c r="G52" s="180">
        <f>+G51</f>
        <v>330698000</v>
      </c>
      <c r="H52" s="180">
        <v>426640100</v>
      </c>
      <c r="I52" s="181">
        <v>488226000</v>
      </c>
      <c r="J52" s="180">
        <v>482708000</v>
      </c>
      <c r="K52" s="180">
        <v>488226000</v>
      </c>
      <c r="L52" s="180">
        <f>+K52+10000000</f>
        <v>498226000</v>
      </c>
      <c r="M52" s="180">
        <f>+L52+10000000</f>
        <v>508226000</v>
      </c>
      <c r="N52" s="180">
        <f>+M52+10000000</f>
        <v>518226000</v>
      </c>
      <c r="O52" s="180">
        <f>+N52+10000000</f>
        <v>528226000</v>
      </c>
    </row>
    <row r="53" spans="1:15" ht="15.75">
      <c r="A53" s="111"/>
      <c r="B53" s="183"/>
      <c r="C53" s="184"/>
      <c r="D53" s="185"/>
      <c r="E53" s="185"/>
      <c r="F53" s="185"/>
      <c r="G53" s="185"/>
      <c r="H53" s="186"/>
      <c r="I53" s="187"/>
      <c r="J53" s="188"/>
      <c r="K53" s="186"/>
      <c r="L53" s="186"/>
      <c r="M53" s="186"/>
      <c r="N53" s="186"/>
      <c r="O53" s="186"/>
    </row>
    <row r="54" spans="1:15" ht="28.5">
      <c r="A54" s="111" t="s">
        <v>226</v>
      </c>
      <c r="B54" s="189" t="s">
        <v>227</v>
      </c>
      <c r="C54" s="190"/>
      <c r="D54" s="186">
        <v>0</v>
      </c>
      <c r="E54" s="186">
        <v>0</v>
      </c>
      <c r="F54" s="186"/>
      <c r="G54" s="186"/>
      <c r="H54" s="186"/>
      <c r="I54" s="187"/>
      <c r="J54" s="188"/>
      <c r="K54" s="186"/>
      <c r="L54" s="186"/>
      <c r="M54" s="186"/>
      <c r="N54" s="186"/>
      <c r="O54" s="186"/>
    </row>
    <row r="55" spans="1:15" s="83" customFormat="1" ht="15.75">
      <c r="A55" s="111"/>
      <c r="B55" s="189"/>
      <c r="C55" s="190"/>
      <c r="D55" s="186"/>
      <c r="E55" s="186"/>
      <c r="F55" s="186"/>
      <c r="G55" s="186"/>
      <c r="H55" s="186"/>
      <c r="I55" s="187"/>
      <c r="J55" s="188"/>
      <c r="K55" s="186"/>
      <c r="L55" s="186"/>
      <c r="M55" s="186"/>
      <c r="N55" s="186"/>
      <c r="O55" s="186"/>
    </row>
    <row r="56" spans="1:15" s="182" customFormat="1" ht="15.75">
      <c r="A56" s="191" t="s">
        <v>228</v>
      </c>
      <c r="B56" s="192" t="s">
        <v>229</v>
      </c>
      <c r="C56" s="193">
        <v>2275000000</v>
      </c>
      <c r="D56" s="194">
        <v>1452818485</v>
      </c>
      <c r="E56" s="194">
        <v>1492932475</v>
      </c>
      <c r="F56" s="194">
        <v>1771094175</v>
      </c>
      <c r="G56" s="194">
        <v>1501687487</v>
      </c>
      <c r="H56" s="194">
        <v>2172020845</v>
      </c>
      <c r="I56" s="195">
        <v>2351850000</v>
      </c>
      <c r="J56" s="194">
        <f>1177552625+558155000+443565600+192785600+100657500+113050350+31800000</f>
        <v>2617566675</v>
      </c>
      <c r="K56" s="194">
        <v>2317800000</v>
      </c>
      <c r="L56" s="194">
        <f>+K56*1.05</f>
        <v>2433690000</v>
      </c>
      <c r="M56" s="194">
        <f>+L56*1.05+500</f>
        <v>2555375000</v>
      </c>
      <c r="N56" s="194">
        <f>+M56*1.05+250</f>
        <v>2683144000</v>
      </c>
      <c r="O56" s="194">
        <f>+N56*1.05-200</f>
        <v>2817301000</v>
      </c>
    </row>
    <row r="57" spans="1:15" ht="15">
      <c r="A57" s="145"/>
      <c r="B57" s="166"/>
      <c r="C57" s="167"/>
      <c r="D57" s="133"/>
      <c r="E57" s="133"/>
      <c r="F57" s="133"/>
      <c r="G57" s="133"/>
      <c r="H57" s="133"/>
      <c r="I57" s="134"/>
      <c r="J57" s="135"/>
      <c r="K57" s="133"/>
      <c r="L57" s="133"/>
      <c r="M57" s="133"/>
      <c r="N57" s="133"/>
      <c r="O57" s="133"/>
    </row>
    <row r="58" spans="1:15" s="198" customFormat="1" ht="15.75">
      <c r="A58" s="111"/>
      <c r="B58" s="196" t="s">
        <v>230</v>
      </c>
      <c r="C58" s="197"/>
      <c r="D58" s="147">
        <v>1460000</v>
      </c>
      <c r="E58" s="147">
        <v>751250</v>
      </c>
      <c r="F58" s="147">
        <v>840000</v>
      </c>
      <c r="G58" s="147">
        <v>1650000</v>
      </c>
      <c r="H58" s="147">
        <v>0</v>
      </c>
      <c r="I58" s="163"/>
      <c r="J58" s="148">
        <v>0</v>
      </c>
      <c r="K58" s="147"/>
      <c r="L58" s="147"/>
      <c r="M58" s="147"/>
      <c r="N58" s="147"/>
      <c r="O58" s="147"/>
    </row>
    <row r="59" spans="1:15" ht="15">
      <c r="A59" s="145"/>
      <c r="B59" s="166"/>
      <c r="C59" s="167"/>
      <c r="D59" s="133"/>
      <c r="E59" s="133"/>
      <c r="F59" s="133"/>
      <c r="G59" s="133"/>
      <c r="H59" s="133"/>
      <c r="I59" s="134"/>
      <c r="J59" s="135"/>
      <c r="K59" s="133"/>
      <c r="L59" s="133"/>
      <c r="M59" s="133"/>
      <c r="N59" s="133"/>
      <c r="O59" s="133"/>
    </row>
    <row r="60" spans="1:15" s="198" customFormat="1" ht="15.75">
      <c r="A60" s="111"/>
      <c r="B60" s="196" t="s">
        <v>231</v>
      </c>
      <c r="C60" s="197"/>
      <c r="D60" s="147">
        <v>26880000</v>
      </c>
      <c r="E60" s="147">
        <v>30000000</v>
      </c>
      <c r="F60" s="147">
        <v>30000000</v>
      </c>
      <c r="G60" s="147">
        <v>11737500</v>
      </c>
      <c r="H60" s="147">
        <v>0</v>
      </c>
      <c r="I60" s="163"/>
      <c r="J60" s="148">
        <v>0</v>
      </c>
      <c r="K60" s="147"/>
      <c r="L60" s="147"/>
      <c r="M60" s="147"/>
      <c r="N60" s="147"/>
      <c r="O60" s="147"/>
    </row>
    <row r="61" spans="1:15" ht="15">
      <c r="A61" s="145"/>
      <c r="B61" s="166"/>
      <c r="C61" s="167"/>
      <c r="D61" s="133"/>
      <c r="E61" s="133"/>
      <c r="F61" s="133"/>
      <c r="G61" s="133"/>
      <c r="H61" s="133"/>
      <c r="I61" s="134"/>
      <c r="J61" s="135"/>
      <c r="K61" s="133"/>
      <c r="L61" s="133"/>
      <c r="M61" s="133"/>
      <c r="N61" s="133"/>
      <c r="O61" s="133"/>
    </row>
    <row r="62" spans="1:15" ht="15">
      <c r="A62" s="145"/>
      <c r="B62" s="166"/>
      <c r="C62" s="167"/>
      <c r="D62" s="133"/>
      <c r="E62" s="133"/>
      <c r="F62" s="133"/>
      <c r="G62" s="133"/>
      <c r="H62" s="133"/>
      <c r="I62" s="134"/>
      <c r="J62" s="135"/>
      <c r="K62" s="133"/>
      <c r="L62" s="133"/>
      <c r="M62" s="133"/>
      <c r="N62" s="133"/>
      <c r="O62" s="133"/>
    </row>
    <row r="63" spans="1:15" s="173" customFormat="1" ht="31.5">
      <c r="A63" s="199">
        <v>4120107</v>
      </c>
      <c r="B63" s="168" t="s">
        <v>232</v>
      </c>
      <c r="C63" s="200">
        <v>789000000</v>
      </c>
      <c r="D63" s="201">
        <v>0</v>
      </c>
      <c r="E63" s="201">
        <v>0</v>
      </c>
      <c r="F63" s="201">
        <v>0</v>
      </c>
      <c r="G63" s="201">
        <v>0</v>
      </c>
      <c r="H63" s="170">
        <v>742049000</v>
      </c>
      <c r="I63" s="171">
        <v>789000000</v>
      </c>
      <c r="J63" s="172">
        <v>887248000</v>
      </c>
      <c r="K63" s="170">
        <v>0</v>
      </c>
      <c r="L63" s="170">
        <v>0</v>
      </c>
      <c r="M63" s="170">
        <v>0</v>
      </c>
      <c r="N63" s="170">
        <v>0</v>
      </c>
      <c r="O63" s="170">
        <v>0</v>
      </c>
    </row>
    <row r="64" spans="1:15" ht="31.5">
      <c r="A64" s="111" t="s">
        <v>233</v>
      </c>
      <c r="B64" s="202" t="s">
        <v>234</v>
      </c>
      <c r="C64" s="141">
        <v>550000000</v>
      </c>
      <c r="D64" s="147">
        <v>0</v>
      </c>
      <c r="E64" s="147">
        <v>0</v>
      </c>
      <c r="F64" s="147">
        <v>0</v>
      </c>
      <c r="G64" s="147">
        <v>0</v>
      </c>
      <c r="H64" s="147">
        <v>550533736</v>
      </c>
      <c r="I64" s="163">
        <v>650000000</v>
      </c>
      <c r="J64" s="148">
        <v>614111292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</row>
    <row r="65" spans="1:17" ht="15.75">
      <c r="A65" s="111" t="s">
        <v>235</v>
      </c>
      <c r="B65" s="196" t="s">
        <v>236</v>
      </c>
      <c r="C65" s="197"/>
      <c r="D65" s="203">
        <v>0</v>
      </c>
      <c r="E65" s="203">
        <v>0</v>
      </c>
      <c r="F65" s="203"/>
      <c r="G65" s="203"/>
      <c r="H65" s="147">
        <v>119559664</v>
      </c>
      <c r="I65" s="163"/>
      <c r="J65" s="148">
        <v>0</v>
      </c>
      <c r="K65" s="147"/>
      <c r="L65" s="147"/>
      <c r="M65" s="147"/>
      <c r="N65" s="147"/>
      <c r="O65" s="147"/>
    </row>
    <row r="66" spans="1:17" ht="15.75">
      <c r="A66" s="147"/>
      <c r="B66" s="196"/>
      <c r="C66" s="197"/>
      <c r="D66" s="147"/>
      <c r="E66" s="147"/>
      <c r="F66" s="147"/>
      <c r="G66" s="147"/>
      <c r="H66" s="147"/>
      <c r="I66" s="163"/>
      <c r="J66" s="148"/>
      <c r="K66" s="147"/>
      <c r="L66" s="147"/>
      <c r="M66" s="147"/>
      <c r="N66" s="147"/>
      <c r="O66" s="147"/>
    </row>
    <row r="67" spans="1:17" ht="15.75">
      <c r="A67" s="111" t="s">
        <v>237</v>
      </c>
      <c r="B67" s="176" t="s">
        <v>238</v>
      </c>
      <c r="C67" s="113" t="e">
        <f>C69+C76+C79+C83+#REF!+#REF!+#REF!+C86</f>
        <v>#REF!</v>
      </c>
      <c r="D67" s="113">
        <f>+D69+D76+D79+D83+D84+D85+D86+D87+D88+D89+D90+D91+D92+D93+D94+D95</f>
        <v>1654890150</v>
      </c>
      <c r="E67" s="113">
        <f t="shared" ref="E67:J67" si="16">+E69+E76+E79+E83+E84+E85+E86+E87+E88+E89+E90+E91+E92+E93+E94+E95</f>
        <v>2316416300</v>
      </c>
      <c r="F67" s="113">
        <f t="shared" si="16"/>
        <v>2025366700</v>
      </c>
      <c r="G67" s="113">
        <f t="shared" si="16"/>
        <v>1917741750</v>
      </c>
      <c r="H67" s="113">
        <f t="shared" si="16"/>
        <v>1174119750</v>
      </c>
      <c r="I67" s="113">
        <f t="shared" si="16"/>
        <v>1248540000</v>
      </c>
      <c r="J67" s="114">
        <f t="shared" si="16"/>
        <v>1177727048</v>
      </c>
      <c r="K67" s="113">
        <f>+K69+K73+K74+K75+K76+K79+K83+K86+K87+K96+K82</f>
        <v>1404740000</v>
      </c>
      <c r="L67" s="113">
        <f t="shared" ref="L67:O67" si="17">+L69+L73+L74+L75+L76+L79+L83+L86+L87+L96+L82</f>
        <v>1352840000</v>
      </c>
      <c r="M67" s="113">
        <f t="shared" si="17"/>
        <v>1397595000</v>
      </c>
      <c r="N67" s="113">
        <f t="shared" si="17"/>
        <v>1444088000</v>
      </c>
      <c r="O67" s="113">
        <f t="shared" si="17"/>
        <v>1492405000</v>
      </c>
    </row>
    <row r="68" spans="1:17" ht="15.75">
      <c r="A68" s="204"/>
      <c r="B68" s="176"/>
      <c r="C68" s="113"/>
      <c r="D68" s="113"/>
      <c r="E68" s="113"/>
      <c r="F68" s="113"/>
      <c r="G68" s="113"/>
      <c r="H68" s="113"/>
      <c r="I68" s="127"/>
      <c r="J68" s="114"/>
      <c r="K68" s="113"/>
      <c r="L68" s="113"/>
      <c r="M68" s="113"/>
      <c r="N68" s="113"/>
      <c r="O68" s="113"/>
    </row>
    <row r="69" spans="1:17" ht="31.5">
      <c r="A69" s="147" t="s">
        <v>239</v>
      </c>
      <c r="B69" s="205" t="s">
        <v>240</v>
      </c>
      <c r="C69" s="113">
        <f t="shared" ref="C69:J69" si="18">C70+C71+C73+C74+C75</f>
        <v>180000000</v>
      </c>
      <c r="D69" s="113">
        <f t="shared" si="18"/>
        <v>0</v>
      </c>
      <c r="E69" s="113">
        <v>0</v>
      </c>
      <c r="F69" s="113">
        <v>0</v>
      </c>
      <c r="G69" s="113">
        <v>0</v>
      </c>
      <c r="H69" s="113">
        <f t="shared" si="18"/>
        <v>0</v>
      </c>
      <c r="I69" s="127">
        <f t="shared" si="18"/>
        <v>186500000</v>
      </c>
      <c r="J69" s="114">
        <f t="shared" si="18"/>
        <v>178896098</v>
      </c>
      <c r="K69" s="113">
        <f>SUM(K70:K72)</f>
        <v>75700000</v>
      </c>
      <c r="L69" s="206">
        <f t="shared" ref="L69:O69" si="19">SUM(L70:L72)</f>
        <v>75700000</v>
      </c>
      <c r="M69" s="113">
        <f t="shared" si="19"/>
        <v>75700000</v>
      </c>
      <c r="N69" s="113">
        <f t="shared" si="19"/>
        <v>75700000</v>
      </c>
      <c r="O69" s="113">
        <f t="shared" si="19"/>
        <v>75700000</v>
      </c>
    </row>
    <row r="70" spans="1:17" ht="31.5">
      <c r="A70" s="147" t="s">
        <v>241</v>
      </c>
      <c r="B70" s="207" t="s">
        <v>242</v>
      </c>
      <c r="C70" s="208">
        <v>25000000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27">
        <v>34500000</v>
      </c>
      <c r="J70" s="114">
        <v>36365000</v>
      </c>
      <c r="K70" s="113">
        <v>18000000</v>
      </c>
      <c r="L70" s="206">
        <v>18000000</v>
      </c>
      <c r="M70" s="113">
        <v>18000000</v>
      </c>
      <c r="N70" s="113">
        <v>18000000</v>
      </c>
      <c r="O70" s="113">
        <v>18000000</v>
      </c>
    </row>
    <row r="71" spans="1:17" ht="15.75">
      <c r="A71" s="147" t="s">
        <v>243</v>
      </c>
      <c r="B71" s="209" t="s">
        <v>244</v>
      </c>
      <c r="C71" s="210">
        <v>3000000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27">
        <v>0</v>
      </c>
      <c r="J71" s="114">
        <v>0</v>
      </c>
      <c r="K71" s="113">
        <v>9500000</v>
      </c>
      <c r="L71" s="206">
        <v>9500000</v>
      </c>
      <c r="M71" s="113">
        <v>9500000</v>
      </c>
      <c r="N71" s="113">
        <v>9500000</v>
      </c>
      <c r="O71" s="113">
        <v>9500000</v>
      </c>
    </row>
    <row r="72" spans="1:17" ht="15.75">
      <c r="A72" s="147"/>
      <c r="B72" s="209" t="s">
        <v>245</v>
      </c>
      <c r="C72" s="210"/>
      <c r="D72" s="113"/>
      <c r="E72" s="113"/>
      <c r="F72" s="113"/>
      <c r="G72" s="113"/>
      <c r="H72" s="113"/>
      <c r="I72" s="127"/>
      <c r="J72" s="114"/>
      <c r="K72" s="113">
        <v>48200000</v>
      </c>
      <c r="L72" s="206">
        <v>48200000</v>
      </c>
      <c r="M72" s="113">
        <v>48200000</v>
      </c>
      <c r="N72" s="113">
        <v>48200000</v>
      </c>
      <c r="O72" s="113">
        <v>48200000</v>
      </c>
    </row>
    <row r="73" spans="1:17" ht="15.75">
      <c r="A73" s="147" t="s">
        <v>246</v>
      </c>
      <c r="B73" s="207" t="s">
        <v>247</v>
      </c>
      <c r="C73" s="208">
        <v>50000000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27">
        <v>50000000</v>
      </c>
      <c r="J73" s="114">
        <v>86380000</v>
      </c>
      <c r="K73" s="113">
        <v>55000000</v>
      </c>
      <c r="L73" s="206">
        <v>57750000</v>
      </c>
      <c r="M73" s="113">
        <f>+L73*1.05+500</f>
        <v>60638000</v>
      </c>
      <c r="N73" s="113">
        <f>+M73*1.05+100</f>
        <v>63670000</v>
      </c>
      <c r="O73" s="113">
        <f>+N73*1.05-500</f>
        <v>66853000</v>
      </c>
    </row>
    <row r="74" spans="1:17" ht="15.75">
      <c r="A74" s="147" t="s">
        <v>248</v>
      </c>
      <c r="B74" s="207" t="s">
        <v>249</v>
      </c>
      <c r="C74" s="208">
        <v>90000000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27">
        <v>90000000</v>
      </c>
      <c r="J74" s="114">
        <v>52151098</v>
      </c>
      <c r="K74" s="113">
        <v>90000000</v>
      </c>
      <c r="L74" s="206">
        <v>94500000</v>
      </c>
      <c r="M74" s="113">
        <f t="shared" ref="M74" si="20">+L74*1.05</f>
        <v>99225000</v>
      </c>
      <c r="N74" s="113">
        <f>+M74*1.05-250</f>
        <v>104186000</v>
      </c>
      <c r="O74" s="113">
        <f>+N74*1.05-300</f>
        <v>109395000</v>
      </c>
    </row>
    <row r="75" spans="1:17" ht="15.75">
      <c r="A75" s="211"/>
      <c r="B75" s="207" t="s">
        <v>250</v>
      </c>
      <c r="C75" s="212">
        <v>12000000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27">
        <v>12000000</v>
      </c>
      <c r="J75" s="114">
        <v>4000000</v>
      </c>
      <c r="K75" s="113">
        <v>0</v>
      </c>
      <c r="L75" s="206">
        <v>0</v>
      </c>
      <c r="M75" s="113">
        <v>0</v>
      </c>
      <c r="N75" s="113">
        <v>0</v>
      </c>
      <c r="O75" s="113">
        <v>0</v>
      </c>
    </row>
    <row r="76" spans="1:17" ht="15.75">
      <c r="A76" s="111" t="s">
        <v>251</v>
      </c>
      <c r="B76" s="112" t="s">
        <v>252</v>
      </c>
      <c r="C76" s="132">
        <v>437000000</v>
      </c>
      <c r="D76" s="147">
        <v>296057400</v>
      </c>
      <c r="E76" s="147">
        <v>302488000</v>
      </c>
      <c r="F76" s="147">
        <v>373085200</v>
      </c>
      <c r="G76" s="147">
        <v>403247200</v>
      </c>
      <c r="H76" s="147">
        <v>441604100</v>
      </c>
      <c r="I76" s="163">
        <v>437000000</v>
      </c>
      <c r="J76" s="148">
        <v>437418900</v>
      </c>
      <c r="K76" s="147">
        <v>437000000</v>
      </c>
      <c r="L76" s="213">
        <v>458850000</v>
      </c>
      <c r="M76" s="147">
        <f>+L76*1.05-500</f>
        <v>481792000</v>
      </c>
      <c r="N76" s="147">
        <f>+M76*1.05+400</f>
        <v>505882000</v>
      </c>
      <c r="O76" s="147">
        <f>+N76*1.05-100</f>
        <v>531176000</v>
      </c>
    </row>
    <row r="77" spans="1:17" ht="15">
      <c r="A77" s="145" t="s">
        <v>253</v>
      </c>
      <c r="B77" s="166" t="s">
        <v>254</v>
      </c>
      <c r="C77" s="167"/>
      <c r="D77" s="158"/>
      <c r="E77" s="158"/>
      <c r="F77" s="158"/>
      <c r="G77" s="158"/>
      <c r="H77" s="133"/>
      <c r="I77" s="134"/>
      <c r="J77" s="135"/>
      <c r="K77" s="133"/>
      <c r="L77" s="214"/>
      <c r="M77" s="133"/>
      <c r="N77" s="133"/>
      <c r="O77" s="133"/>
    </row>
    <row r="78" spans="1:17" ht="15">
      <c r="A78" s="145" t="s">
        <v>255</v>
      </c>
      <c r="B78" s="166" t="s">
        <v>256</v>
      </c>
      <c r="C78" s="167"/>
      <c r="D78" s="158"/>
      <c r="E78" s="158"/>
      <c r="F78" s="158"/>
      <c r="G78" s="158"/>
      <c r="H78" s="133"/>
      <c r="I78" s="134"/>
      <c r="J78" s="135"/>
      <c r="K78" s="133"/>
      <c r="L78" s="214"/>
      <c r="M78" s="133"/>
      <c r="N78" s="133"/>
      <c r="O78" s="133"/>
    </row>
    <row r="79" spans="1:17" s="182" customFormat="1" ht="15.75">
      <c r="A79" s="191" t="s">
        <v>257</v>
      </c>
      <c r="B79" s="192" t="s">
        <v>258</v>
      </c>
      <c r="C79" s="193">
        <v>215040000</v>
      </c>
      <c r="D79" s="194">
        <v>151770300</v>
      </c>
      <c r="E79" s="194">
        <v>104633700</v>
      </c>
      <c r="F79" s="194">
        <v>218496000</v>
      </c>
      <c r="G79" s="194">
        <f>78000+189741600</f>
        <v>189819600</v>
      </c>
      <c r="H79" s="194">
        <v>173303600</v>
      </c>
      <c r="I79" s="195">
        <v>215040000</v>
      </c>
      <c r="J79" s="148">
        <v>158628900</v>
      </c>
      <c r="K79" s="194">
        <v>215040000</v>
      </c>
      <c r="L79" s="215">
        <f>+K79+10000000</f>
        <v>225040000</v>
      </c>
      <c r="M79" s="194">
        <f>+L79+10000000</f>
        <v>235040000</v>
      </c>
      <c r="N79" s="194">
        <f>+M79+10000000</f>
        <v>245040000</v>
      </c>
      <c r="O79" s="194">
        <f>+N79+10000000</f>
        <v>255040000</v>
      </c>
      <c r="Q79" s="510"/>
    </row>
    <row r="80" spans="1:17" ht="15">
      <c r="A80" s="145" t="s">
        <v>257</v>
      </c>
      <c r="B80" s="131" t="s">
        <v>258</v>
      </c>
      <c r="C80" s="146"/>
      <c r="D80" s="158"/>
      <c r="E80" s="158"/>
      <c r="F80" s="158"/>
      <c r="G80" s="158"/>
      <c r="H80" s="133"/>
      <c r="I80" s="134"/>
      <c r="J80" s="135"/>
      <c r="K80" s="133"/>
      <c r="L80" s="214"/>
      <c r="M80" s="133"/>
      <c r="N80" s="133"/>
      <c r="O80" s="133"/>
    </row>
    <row r="81" spans="1:15" ht="30">
      <c r="A81" s="145"/>
      <c r="B81" s="136" t="s">
        <v>259</v>
      </c>
      <c r="C81" s="146"/>
      <c r="D81" s="158"/>
      <c r="E81" s="158"/>
      <c r="F81" s="158"/>
      <c r="G81" s="158"/>
      <c r="H81" s="133"/>
      <c r="I81" s="134"/>
      <c r="J81" s="135"/>
      <c r="K81" s="133">
        <v>80000000</v>
      </c>
      <c r="L81" s="216" t="s">
        <v>8</v>
      </c>
      <c r="M81" s="217" t="s">
        <v>8</v>
      </c>
      <c r="N81" s="217" t="s">
        <v>8</v>
      </c>
      <c r="O81" s="217" t="s">
        <v>8</v>
      </c>
    </row>
    <row r="82" spans="1:15" ht="31.5">
      <c r="A82" s="111" t="s">
        <v>260</v>
      </c>
      <c r="B82" s="202" t="s">
        <v>259</v>
      </c>
      <c r="C82" s="141"/>
      <c r="D82" s="147"/>
      <c r="E82" s="147"/>
      <c r="F82" s="147"/>
      <c r="G82" s="147"/>
      <c r="H82" s="147"/>
      <c r="I82" s="163"/>
      <c r="J82" s="148"/>
      <c r="K82" s="147">
        <v>80000000</v>
      </c>
      <c r="L82" s="213">
        <v>0</v>
      </c>
      <c r="M82" s="147">
        <v>0</v>
      </c>
      <c r="N82" s="147">
        <v>0</v>
      </c>
      <c r="O82" s="147">
        <v>0</v>
      </c>
    </row>
    <row r="83" spans="1:15" ht="15.75">
      <c r="A83" s="111" t="s">
        <v>261</v>
      </c>
      <c r="B83" s="218" t="s">
        <v>262</v>
      </c>
      <c r="C83" s="219">
        <v>80000000</v>
      </c>
      <c r="D83" s="170">
        <v>66579000</v>
      </c>
      <c r="E83" s="170">
        <v>67396500</v>
      </c>
      <c r="F83" s="170">
        <v>80261450</v>
      </c>
      <c r="G83" s="170">
        <v>81794500</v>
      </c>
      <c r="H83" s="170">
        <v>83404500</v>
      </c>
      <c r="I83" s="171">
        <v>80000000</v>
      </c>
      <c r="J83" s="172">
        <v>81571000</v>
      </c>
      <c r="K83" s="170">
        <v>80000000</v>
      </c>
      <c r="L83" s="220">
        <v>84000000</v>
      </c>
      <c r="M83" s="170">
        <f>+L83*1.05</f>
        <v>88200000</v>
      </c>
      <c r="N83" s="170">
        <f>+M83*1.05</f>
        <v>92610000</v>
      </c>
      <c r="O83" s="170">
        <f>+N83*1.05+500</f>
        <v>97241000</v>
      </c>
    </row>
    <row r="84" spans="1:15" ht="31.5">
      <c r="A84" s="111"/>
      <c r="B84" s="221" t="s">
        <v>263</v>
      </c>
      <c r="C84" s="219"/>
      <c r="D84" s="170">
        <v>30210000</v>
      </c>
      <c r="E84" s="170">
        <v>30397000</v>
      </c>
      <c r="F84" s="170">
        <v>30563000</v>
      </c>
      <c r="G84" s="170">
        <v>12424500</v>
      </c>
      <c r="H84" s="170">
        <v>0</v>
      </c>
      <c r="I84" s="171"/>
      <c r="J84" s="172"/>
      <c r="K84" s="170"/>
      <c r="L84" s="220"/>
      <c r="M84" s="170"/>
      <c r="N84" s="170"/>
      <c r="O84" s="170"/>
    </row>
    <row r="85" spans="1:15" ht="31.5">
      <c r="A85" s="111"/>
      <c r="B85" s="221" t="s">
        <v>264</v>
      </c>
      <c r="C85" s="219"/>
      <c r="D85" s="170">
        <v>121846400</v>
      </c>
      <c r="E85" s="170">
        <v>738326700</v>
      </c>
      <c r="F85" s="170">
        <v>20000000</v>
      </c>
      <c r="G85" s="170">
        <v>20000000</v>
      </c>
      <c r="H85" s="170">
        <v>0</v>
      </c>
      <c r="I85" s="171"/>
      <c r="J85" s="172"/>
      <c r="K85" s="170"/>
      <c r="L85" s="220"/>
      <c r="M85" s="170"/>
      <c r="N85" s="170"/>
      <c r="O85" s="170"/>
    </row>
    <row r="86" spans="1:15" ht="31.5">
      <c r="A86" s="111" t="s">
        <v>265</v>
      </c>
      <c r="B86" s="218" t="s">
        <v>266</v>
      </c>
      <c r="C86" s="219">
        <v>330000000</v>
      </c>
      <c r="D86" s="170">
        <v>0</v>
      </c>
      <c r="E86" s="170">
        <v>0</v>
      </c>
      <c r="F86" s="170">
        <v>0</v>
      </c>
      <c r="G86" s="170">
        <v>0</v>
      </c>
      <c r="H86" s="170">
        <v>0</v>
      </c>
      <c r="I86" s="171">
        <v>330000000</v>
      </c>
      <c r="J86" s="172">
        <v>321212150</v>
      </c>
      <c r="K86" s="170">
        <v>330000000</v>
      </c>
      <c r="L86" s="220">
        <v>330000000</v>
      </c>
      <c r="M86" s="170">
        <v>330000000</v>
      </c>
      <c r="N86" s="170">
        <v>330000000</v>
      </c>
      <c r="O86" s="170">
        <v>330000000</v>
      </c>
    </row>
    <row r="87" spans="1:15" ht="15.75">
      <c r="A87" s="111"/>
      <c r="B87" s="221" t="s">
        <v>267</v>
      </c>
      <c r="C87" s="219"/>
      <c r="D87" s="170">
        <v>36762500</v>
      </c>
      <c r="E87" s="170">
        <v>31484500</v>
      </c>
      <c r="F87" s="170">
        <v>36281500</v>
      </c>
      <c r="G87" s="170">
        <v>44739000</v>
      </c>
      <c r="H87" s="170">
        <v>38844000</v>
      </c>
      <c r="I87" s="171"/>
      <c r="J87" s="172"/>
      <c r="K87" s="170">
        <v>27000000</v>
      </c>
      <c r="L87" s="220">
        <v>27000000</v>
      </c>
      <c r="M87" s="170">
        <v>27000000</v>
      </c>
      <c r="N87" s="170">
        <v>27000000</v>
      </c>
      <c r="O87" s="170">
        <v>27000000</v>
      </c>
    </row>
    <row r="88" spans="1:15" ht="15.75">
      <c r="A88" s="111"/>
      <c r="B88" s="221" t="s">
        <v>268</v>
      </c>
      <c r="C88" s="219"/>
      <c r="D88" s="170">
        <v>796264750</v>
      </c>
      <c r="E88" s="170">
        <v>857785000</v>
      </c>
      <c r="F88" s="170">
        <v>1116532650</v>
      </c>
      <c r="G88" s="170">
        <v>925073950</v>
      </c>
      <c r="H88" s="170">
        <v>0</v>
      </c>
      <c r="I88" s="171"/>
      <c r="J88" s="172"/>
      <c r="K88" s="170"/>
      <c r="L88" s="220">
        <v>0</v>
      </c>
      <c r="M88" s="220">
        <v>0</v>
      </c>
      <c r="N88" s="220">
        <v>0</v>
      </c>
      <c r="O88" s="220">
        <v>0</v>
      </c>
    </row>
    <row r="89" spans="1:15" ht="15.75">
      <c r="A89" s="111"/>
      <c r="B89" s="221" t="s">
        <v>269</v>
      </c>
      <c r="C89" s="219"/>
      <c r="D89" s="170">
        <v>6600000</v>
      </c>
      <c r="E89" s="170">
        <v>6600000</v>
      </c>
      <c r="F89" s="170">
        <v>6050000</v>
      </c>
      <c r="G89" s="170">
        <v>0</v>
      </c>
      <c r="H89" s="170">
        <v>0</v>
      </c>
      <c r="I89" s="171"/>
      <c r="J89" s="172"/>
      <c r="K89" s="170"/>
      <c r="L89" s="220">
        <v>0</v>
      </c>
      <c r="M89" s="220">
        <v>0</v>
      </c>
      <c r="N89" s="220">
        <v>0</v>
      </c>
      <c r="O89" s="220">
        <v>0</v>
      </c>
    </row>
    <row r="90" spans="1:15" ht="15.75">
      <c r="A90" s="111"/>
      <c r="B90" s="221" t="s">
        <v>270</v>
      </c>
      <c r="C90" s="219"/>
      <c r="D90" s="170">
        <v>38040000</v>
      </c>
      <c r="E90" s="170">
        <v>45020000</v>
      </c>
      <c r="F90" s="170">
        <v>28815000</v>
      </c>
      <c r="G90" s="170">
        <v>45480000</v>
      </c>
      <c r="H90" s="170">
        <v>55600000</v>
      </c>
      <c r="I90" s="171"/>
      <c r="J90" s="172"/>
      <c r="K90" s="170"/>
      <c r="L90" s="220">
        <v>0</v>
      </c>
      <c r="M90" s="220">
        <v>0</v>
      </c>
      <c r="N90" s="220">
        <v>0</v>
      </c>
      <c r="O90" s="220">
        <v>0</v>
      </c>
    </row>
    <row r="91" spans="1:15" ht="15.75">
      <c r="A91" s="111"/>
      <c r="B91" s="221" t="s">
        <v>271</v>
      </c>
      <c r="C91" s="219"/>
      <c r="D91" s="170">
        <v>4385350</v>
      </c>
      <c r="E91" s="170">
        <v>4243400</v>
      </c>
      <c r="F91" s="170">
        <v>5020550</v>
      </c>
      <c r="G91" s="170">
        <v>5038950</v>
      </c>
      <c r="H91" s="170">
        <v>5024950</v>
      </c>
      <c r="I91" s="171"/>
      <c r="J91" s="172"/>
      <c r="K91" s="170"/>
      <c r="L91" s="220">
        <v>0</v>
      </c>
      <c r="M91" s="220">
        <v>0</v>
      </c>
      <c r="N91" s="220">
        <v>0</v>
      </c>
      <c r="O91" s="220">
        <v>0</v>
      </c>
    </row>
    <row r="92" spans="1:15" ht="15.75">
      <c r="A92" s="111"/>
      <c r="B92" s="221" t="s">
        <v>272</v>
      </c>
      <c r="C92" s="219"/>
      <c r="D92" s="170">
        <v>76649450</v>
      </c>
      <c r="E92" s="170">
        <v>85105000</v>
      </c>
      <c r="F92" s="170">
        <v>58948000</v>
      </c>
      <c r="G92" s="170">
        <v>67147850</v>
      </c>
      <c r="H92" s="170">
        <v>64249800</v>
      </c>
      <c r="I92" s="171"/>
      <c r="J92" s="172"/>
      <c r="K92" s="170"/>
      <c r="L92" s="220">
        <v>0</v>
      </c>
      <c r="M92" s="220">
        <v>0</v>
      </c>
      <c r="N92" s="220">
        <v>0</v>
      </c>
      <c r="O92" s="220">
        <v>0</v>
      </c>
    </row>
    <row r="93" spans="1:15" ht="15.75">
      <c r="A93" s="111"/>
      <c r="B93" s="202" t="s">
        <v>273</v>
      </c>
      <c r="C93" s="112"/>
      <c r="D93" s="222">
        <v>20010000</v>
      </c>
      <c r="E93" s="222">
        <v>20025000</v>
      </c>
      <c r="F93" s="222">
        <v>26475000</v>
      </c>
      <c r="G93" s="222">
        <v>102100700</v>
      </c>
      <c r="H93" s="113">
        <v>312088800</v>
      </c>
      <c r="I93" s="127"/>
      <c r="J93" s="114"/>
      <c r="K93" s="113"/>
      <c r="L93" s="220">
        <v>0</v>
      </c>
      <c r="M93" s="220">
        <v>0</v>
      </c>
      <c r="N93" s="220">
        <v>0</v>
      </c>
      <c r="O93" s="220">
        <v>0</v>
      </c>
    </row>
    <row r="94" spans="1:15" ht="15.75">
      <c r="A94" s="111"/>
      <c r="B94" s="202" t="s">
        <v>274</v>
      </c>
      <c r="C94" s="112"/>
      <c r="D94" s="222">
        <v>5000000</v>
      </c>
      <c r="E94" s="222">
        <v>5015000</v>
      </c>
      <c r="F94" s="222">
        <v>4620000</v>
      </c>
      <c r="G94" s="222">
        <v>0</v>
      </c>
      <c r="H94" s="113">
        <v>0</v>
      </c>
      <c r="I94" s="127"/>
      <c r="J94" s="114"/>
      <c r="K94" s="113"/>
      <c r="L94" s="220">
        <v>0</v>
      </c>
      <c r="M94" s="220">
        <v>0</v>
      </c>
      <c r="N94" s="220">
        <v>0</v>
      </c>
      <c r="O94" s="220">
        <v>0</v>
      </c>
    </row>
    <row r="95" spans="1:15" ht="15.75">
      <c r="A95" s="111"/>
      <c r="B95" s="202" t="s">
        <v>275</v>
      </c>
      <c r="C95" s="112"/>
      <c r="D95" s="222">
        <v>4715000</v>
      </c>
      <c r="E95" s="222">
        <v>17896500</v>
      </c>
      <c r="F95" s="222">
        <v>20218350</v>
      </c>
      <c r="G95" s="222">
        <v>20875500</v>
      </c>
      <c r="H95" s="113">
        <v>0</v>
      </c>
      <c r="I95" s="127"/>
      <c r="J95" s="114"/>
      <c r="K95" s="113"/>
      <c r="L95" s="220">
        <v>0</v>
      </c>
      <c r="M95" s="220">
        <v>0</v>
      </c>
      <c r="N95" s="220">
        <v>0</v>
      </c>
      <c r="O95" s="220">
        <v>0</v>
      </c>
    </row>
    <row r="96" spans="1:15" ht="15.75">
      <c r="A96" s="111"/>
      <c r="B96" s="202" t="s">
        <v>276</v>
      </c>
      <c r="C96" s="112"/>
      <c r="D96" s="222"/>
      <c r="E96" s="222"/>
      <c r="F96" s="222"/>
      <c r="G96" s="222"/>
      <c r="H96" s="113"/>
      <c r="I96" s="127"/>
      <c r="J96" s="114"/>
      <c r="K96" s="113">
        <v>15000000</v>
      </c>
      <c r="L96" s="220">
        <v>0</v>
      </c>
      <c r="M96" s="220">
        <v>0</v>
      </c>
      <c r="N96" s="220">
        <v>0</v>
      </c>
      <c r="O96" s="220">
        <v>0</v>
      </c>
    </row>
    <row r="97" spans="1:15" ht="15.75">
      <c r="A97" s="111"/>
      <c r="B97" s="202"/>
      <c r="C97" s="112"/>
      <c r="D97" s="222"/>
      <c r="E97" s="222"/>
      <c r="F97" s="222"/>
      <c r="G97" s="222"/>
      <c r="H97" s="113"/>
      <c r="I97" s="127"/>
      <c r="J97" s="114"/>
      <c r="K97" s="113"/>
      <c r="L97" s="113"/>
      <c r="M97" s="113"/>
      <c r="N97" s="113"/>
      <c r="O97" s="113"/>
    </row>
    <row r="98" spans="1:15" ht="15.75">
      <c r="A98" s="111" t="s">
        <v>277</v>
      </c>
      <c r="B98" s="176" t="s">
        <v>278</v>
      </c>
      <c r="C98" s="113">
        <f>SUM(C99:C101)</f>
        <v>705000000</v>
      </c>
      <c r="D98" s="113">
        <f>+D99+D100+D101+D102+D103+D104+D105</f>
        <v>1874708592</v>
      </c>
      <c r="E98" s="113">
        <f>+E99+E100+E101+E102+E103+E104+E105</f>
        <v>1448404536</v>
      </c>
      <c r="F98" s="113">
        <f t="shared" ref="F98:O98" si="21">+F99+F100+F101+F102+F103+F104+F105+F106</f>
        <v>1309022033</v>
      </c>
      <c r="G98" s="113">
        <f t="shared" si="21"/>
        <v>1310333186</v>
      </c>
      <c r="H98" s="113">
        <f t="shared" si="21"/>
        <v>871900611</v>
      </c>
      <c r="I98" s="113">
        <f t="shared" si="21"/>
        <v>905000000</v>
      </c>
      <c r="J98" s="114">
        <f t="shared" si="21"/>
        <v>919664424</v>
      </c>
      <c r="K98" s="113">
        <f t="shared" si="21"/>
        <v>2372285000</v>
      </c>
      <c r="L98" s="113">
        <f t="shared" si="21"/>
        <v>2452549000</v>
      </c>
      <c r="M98" s="113">
        <f t="shared" si="21"/>
        <v>2537939000</v>
      </c>
      <c r="N98" s="113">
        <f t="shared" si="21"/>
        <v>2626142000</v>
      </c>
      <c r="O98" s="113">
        <f t="shared" si="21"/>
        <v>2719922000</v>
      </c>
    </row>
    <row r="99" spans="1:15" ht="15">
      <c r="A99" s="145" t="s">
        <v>279</v>
      </c>
      <c r="B99" s="131" t="s">
        <v>280</v>
      </c>
      <c r="C99" s="146">
        <v>450000000</v>
      </c>
      <c r="D99" s="158">
        <v>545349811</v>
      </c>
      <c r="E99" s="158">
        <v>292671535</v>
      </c>
      <c r="F99" s="158">
        <v>277652325</v>
      </c>
      <c r="G99" s="158">
        <v>377052486</v>
      </c>
      <c r="H99" s="133">
        <v>723570591</v>
      </c>
      <c r="I99" s="134">
        <v>650000000</v>
      </c>
      <c r="J99" s="135">
        <v>721498384</v>
      </c>
      <c r="K99" s="133">
        <v>650000000</v>
      </c>
      <c r="L99" s="133">
        <f>+K99*1.05</f>
        <v>682500000</v>
      </c>
      <c r="M99" s="133">
        <f>+L99*1.05</f>
        <v>716625000</v>
      </c>
      <c r="N99" s="133">
        <f>+M99*1.05-250</f>
        <v>752456000</v>
      </c>
      <c r="O99" s="133">
        <f>+N99*1.05-800</f>
        <v>790078000</v>
      </c>
    </row>
    <row r="100" spans="1:15" ht="15">
      <c r="A100" s="145" t="s">
        <v>281</v>
      </c>
      <c r="B100" s="131" t="s">
        <v>282</v>
      </c>
      <c r="C100" s="146">
        <v>230000000</v>
      </c>
      <c r="D100" s="133">
        <v>524529070</v>
      </c>
      <c r="E100" s="133">
        <v>324211325</v>
      </c>
      <c r="F100" s="133">
        <v>248948225</v>
      </c>
      <c r="G100" s="133">
        <v>235951100</v>
      </c>
      <c r="H100" s="133">
        <v>119995020</v>
      </c>
      <c r="I100" s="134">
        <v>230000000</v>
      </c>
      <c r="J100" s="135">
        <v>171651040</v>
      </c>
      <c r="K100" s="133">
        <v>230000000</v>
      </c>
      <c r="L100" s="133">
        <f>+K100*1.03</f>
        <v>236900000</v>
      </c>
      <c r="M100" s="133">
        <f>+L100*1.03</f>
        <v>244007000</v>
      </c>
      <c r="N100" s="133">
        <f>+M100*1.03-210</f>
        <v>251327000</v>
      </c>
      <c r="O100" s="133">
        <f>+N100*1.03+190</f>
        <v>258867000</v>
      </c>
    </row>
    <row r="101" spans="1:15" ht="15">
      <c r="A101" s="145" t="s">
        <v>283</v>
      </c>
      <c r="B101" s="131" t="s">
        <v>284</v>
      </c>
      <c r="C101" s="146">
        <v>25000000</v>
      </c>
      <c r="D101" s="158">
        <v>36485000</v>
      </c>
      <c r="E101" s="158">
        <v>38115000</v>
      </c>
      <c r="F101" s="158">
        <v>41065000</v>
      </c>
      <c r="G101" s="158">
        <v>44470000</v>
      </c>
      <c r="H101" s="133">
        <v>28335000</v>
      </c>
      <c r="I101" s="134">
        <v>25000000</v>
      </c>
      <c r="J101" s="135">
        <v>26515000</v>
      </c>
      <c r="K101" s="133">
        <v>25010000</v>
      </c>
      <c r="L101" s="133">
        <v>25010000</v>
      </c>
      <c r="M101" s="133">
        <f>+L101*1.05+500</f>
        <v>26261000</v>
      </c>
      <c r="N101" s="133">
        <f>+M101</f>
        <v>26261000</v>
      </c>
      <c r="O101" s="133">
        <f>+N101*1.05-50</f>
        <v>27574000</v>
      </c>
    </row>
    <row r="102" spans="1:15" ht="15">
      <c r="A102" s="145"/>
      <c r="B102" s="136" t="s">
        <v>285</v>
      </c>
      <c r="C102" s="136"/>
      <c r="D102" s="133">
        <v>213092711</v>
      </c>
      <c r="E102" s="133">
        <v>166918376</v>
      </c>
      <c r="F102" s="133">
        <v>88006183</v>
      </c>
      <c r="G102" s="133">
        <v>0</v>
      </c>
      <c r="H102" s="133">
        <v>0</v>
      </c>
      <c r="I102" s="134"/>
      <c r="J102" s="135"/>
      <c r="K102" s="133">
        <v>0</v>
      </c>
      <c r="L102" s="133">
        <v>0</v>
      </c>
      <c r="M102" s="133">
        <v>0</v>
      </c>
      <c r="N102" s="133">
        <v>0</v>
      </c>
      <c r="O102" s="133">
        <v>0</v>
      </c>
    </row>
    <row r="103" spans="1:15" ht="30">
      <c r="A103" s="145"/>
      <c r="B103" s="136" t="s">
        <v>286</v>
      </c>
      <c r="C103" s="136"/>
      <c r="D103" s="133">
        <v>490867000</v>
      </c>
      <c r="E103" s="133">
        <v>588643300</v>
      </c>
      <c r="F103" s="133">
        <v>575035300</v>
      </c>
      <c r="G103" s="133">
        <v>627599600</v>
      </c>
      <c r="H103" s="133">
        <v>0</v>
      </c>
      <c r="I103" s="134"/>
      <c r="J103" s="135"/>
      <c r="K103" s="133">
        <v>817275000</v>
      </c>
      <c r="L103" s="133">
        <f>+K103*1.05+250</f>
        <v>858139000</v>
      </c>
      <c r="M103" s="133">
        <f>+L103*1.05+50</f>
        <v>901046000</v>
      </c>
      <c r="N103" s="133">
        <f>+M103*1.05-300</f>
        <v>946098000</v>
      </c>
      <c r="O103" s="133">
        <f>+N103*1.05+100</f>
        <v>993403000</v>
      </c>
    </row>
    <row r="104" spans="1:15" ht="15">
      <c r="A104" s="145"/>
      <c r="B104" s="136" t="s">
        <v>287</v>
      </c>
      <c r="C104" s="136"/>
      <c r="D104" s="133">
        <v>24010000</v>
      </c>
      <c r="E104" s="133">
        <v>26595000</v>
      </c>
      <c r="F104" s="133">
        <v>29765000</v>
      </c>
      <c r="G104" s="133">
        <v>7910000</v>
      </c>
      <c r="H104" s="133">
        <v>0</v>
      </c>
      <c r="I104" s="134"/>
      <c r="J104" s="135"/>
      <c r="K104" s="133">
        <v>650000000</v>
      </c>
      <c r="L104" s="133">
        <v>650000000</v>
      </c>
      <c r="M104" s="133">
        <v>650000000</v>
      </c>
      <c r="N104" s="133">
        <v>650000000</v>
      </c>
      <c r="O104" s="133">
        <v>650000000</v>
      </c>
    </row>
    <row r="105" spans="1:15" ht="15">
      <c r="A105" s="145"/>
      <c r="B105" s="136" t="s">
        <v>288</v>
      </c>
      <c r="C105" s="136"/>
      <c r="D105" s="133">
        <v>40375000</v>
      </c>
      <c r="E105" s="133">
        <v>11250000</v>
      </c>
      <c r="F105" s="133">
        <v>18550000</v>
      </c>
      <c r="G105" s="133">
        <v>17350000</v>
      </c>
      <c r="H105" s="133">
        <v>0</v>
      </c>
      <c r="I105" s="134"/>
      <c r="J105" s="135"/>
      <c r="K105" s="217">
        <v>0</v>
      </c>
      <c r="L105" s="217">
        <v>0</v>
      </c>
      <c r="M105" s="217">
        <v>0</v>
      </c>
      <c r="N105" s="217">
        <v>0</v>
      </c>
      <c r="O105" s="217">
        <v>0</v>
      </c>
    </row>
    <row r="106" spans="1:15" ht="15.75">
      <c r="A106" s="111"/>
      <c r="B106" s="136" t="s">
        <v>289</v>
      </c>
      <c r="C106" s="202"/>
      <c r="D106" s="147">
        <v>0</v>
      </c>
      <c r="E106" s="147">
        <v>0</v>
      </c>
      <c r="F106" s="133">
        <v>30000000</v>
      </c>
      <c r="G106" s="147">
        <v>0</v>
      </c>
      <c r="H106" s="147">
        <v>0</v>
      </c>
      <c r="I106" s="163"/>
      <c r="J106" s="148"/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</row>
    <row r="107" spans="1:15" ht="15.75">
      <c r="A107" s="111"/>
      <c r="B107" s="202"/>
      <c r="C107" s="202"/>
      <c r="D107" s="147"/>
      <c r="E107" s="147"/>
      <c r="F107" s="133"/>
      <c r="G107" s="147"/>
      <c r="H107" s="147"/>
      <c r="I107" s="163"/>
      <c r="J107" s="148"/>
      <c r="K107" s="147"/>
      <c r="L107" s="147"/>
      <c r="M107" s="147"/>
      <c r="N107" s="147"/>
      <c r="O107" s="147"/>
    </row>
    <row r="108" spans="1:15" s="173" customFormat="1" ht="31.5">
      <c r="A108" s="111" t="s">
        <v>290</v>
      </c>
      <c r="B108" s="218" t="s">
        <v>291</v>
      </c>
      <c r="C108" s="223">
        <f t="shared" ref="C108:O108" si="22">SUM(C109)</f>
        <v>9057063000</v>
      </c>
      <c r="D108" s="223">
        <f t="shared" si="22"/>
        <v>3082405844</v>
      </c>
      <c r="E108" s="223">
        <f t="shared" si="22"/>
        <v>3878614576</v>
      </c>
      <c r="F108" s="223">
        <f t="shared" si="22"/>
        <v>5402385086</v>
      </c>
      <c r="G108" s="223">
        <f t="shared" si="22"/>
        <v>6682535195</v>
      </c>
      <c r="H108" s="223">
        <f t="shared" si="22"/>
        <v>9555591771</v>
      </c>
      <c r="I108" s="223">
        <f t="shared" si="22"/>
        <v>10831063000</v>
      </c>
      <c r="J108" s="224">
        <f t="shared" si="22"/>
        <v>11287250631</v>
      </c>
      <c r="K108" s="223">
        <f t="shared" si="22"/>
        <v>9640000000</v>
      </c>
      <c r="L108" s="223">
        <f t="shared" si="22"/>
        <v>10604000000</v>
      </c>
      <c r="M108" s="223">
        <f t="shared" si="22"/>
        <v>12748899999.999998</v>
      </c>
      <c r="N108" s="223">
        <f t="shared" si="22"/>
        <v>14661234999.999996</v>
      </c>
      <c r="O108" s="223">
        <f t="shared" si="22"/>
        <v>16860417999.999996</v>
      </c>
    </row>
    <row r="109" spans="1:15" ht="47.25">
      <c r="A109" s="225" t="s">
        <v>292</v>
      </c>
      <c r="B109" s="176" t="s">
        <v>293</v>
      </c>
      <c r="C109" s="113">
        <f t="shared" ref="C109:K109" si="23">SUM(C110:C118)</f>
        <v>9057063000</v>
      </c>
      <c r="D109" s="113">
        <f t="shared" si="23"/>
        <v>3082405844</v>
      </c>
      <c r="E109" s="113">
        <f t="shared" si="23"/>
        <v>3878614576</v>
      </c>
      <c r="F109" s="113">
        <f t="shared" si="23"/>
        <v>5402385086</v>
      </c>
      <c r="G109" s="113">
        <f t="shared" si="23"/>
        <v>6682535195</v>
      </c>
      <c r="H109" s="113">
        <f t="shared" si="23"/>
        <v>9555591771</v>
      </c>
      <c r="I109" s="113">
        <f t="shared" ref="I109" si="24">SUM(I110:I118)</f>
        <v>10831063000</v>
      </c>
      <c r="J109" s="114">
        <f t="shared" si="23"/>
        <v>11287250631</v>
      </c>
      <c r="K109" s="113">
        <f t="shared" si="23"/>
        <v>9640000000</v>
      </c>
      <c r="L109" s="113">
        <f>+K109*1.1</f>
        <v>10604000000</v>
      </c>
      <c r="M109" s="113">
        <f t="shared" ref="M109:O109" si="25">SUM(M110:M118)</f>
        <v>12748899999.999998</v>
      </c>
      <c r="N109" s="113">
        <f t="shared" si="25"/>
        <v>14661234999.999996</v>
      </c>
      <c r="O109" s="113">
        <f t="shared" si="25"/>
        <v>16860417999.999996</v>
      </c>
    </row>
    <row r="110" spans="1:15" ht="15">
      <c r="A110" s="145" t="s">
        <v>294</v>
      </c>
      <c r="B110" s="131" t="s">
        <v>295</v>
      </c>
      <c r="C110" s="226">
        <v>2800000000</v>
      </c>
      <c r="D110" s="226">
        <v>1484718616</v>
      </c>
      <c r="E110" s="226">
        <v>1934635171</v>
      </c>
      <c r="F110" s="226">
        <v>2235901965</v>
      </c>
      <c r="G110" s="226">
        <v>2399967682</v>
      </c>
      <c r="H110" s="186">
        <v>4199422356</v>
      </c>
      <c r="I110" s="187">
        <v>4574000000</v>
      </c>
      <c r="J110" s="188">
        <v>4556557277</v>
      </c>
      <c r="K110" s="186">
        <v>2800000000</v>
      </c>
      <c r="L110" s="186">
        <f t="shared" ref="L110:N113" si="26">+K110*1.15</f>
        <v>3219999999.9999995</v>
      </c>
      <c r="M110" s="186">
        <f t="shared" si="26"/>
        <v>3702999999.999999</v>
      </c>
      <c r="N110" s="186">
        <f t="shared" si="26"/>
        <v>4258449999.9999986</v>
      </c>
      <c r="O110" s="186">
        <f>+N110*1.15-500</f>
        <v>4897216999.9999981</v>
      </c>
    </row>
    <row r="111" spans="1:15" ht="15">
      <c r="A111" s="145" t="s">
        <v>296</v>
      </c>
      <c r="B111" s="131" t="s">
        <v>297</v>
      </c>
      <c r="C111" s="185">
        <v>1700000000</v>
      </c>
      <c r="D111" s="185">
        <v>137511190</v>
      </c>
      <c r="E111" s="185">
        <v>155823440</v>
      </c>
      <c r="F111" s="185">
        <v>1041738022</v>
      </c>
      <c r="G111" s="185">
        <v>1356216000</v>
      </c>
      <c r="H111" s="186">
        <v>1580657842</v>
      </c>
      <c r="I111" s="187">
        <v>1700000000</v>
      </c>
      <c r="J111" s="188">
        <v>1934432115</v>
      </c>
      <c r="K111" s="186">
        <v>1900000000</v>
      </c>
      <c r="L111" s="186">
        <f t="shared" si="26"/>
        <v>2185000000</v>
      </c>
      <c r="M111" s="186">
        <f t="shared" si="26"/>
        <v>2512750000</v>
      </c>
      <c r="N111" s="186">
        <f>+M111*1.15+500</f>
        <v>2889663000</v>
      </c>
      <c r="O111" s="186">
        <f>+N111*1.15-450</f>
        <v>3323111999.9999995</v>
      </c>
    </row>
    <row r="112" spans="1:15" ht="15">
      <c r="A112" s="145" t="s">
        <v>298</v>
      </c>
      <c r="B112" s="131" t="s">
        <v>299</v>
      </c>
      <c r="C112" s="185">
        <v>2650000000</v>
      </c>
      <c r="D112" s="185">
        <v>1327277710</v>
      </c>
      <c r="E112" s="185">
        <v>1341443500</v>
      </c>
      <c r="F112" s="185">
        <v>1550369633</v>
      </c>
      <c r="G112" s="185">
        <v>1985400943</v>
      </c>
      <c r="H112" s="186">
        <v>2262769370</v>
      </c>
      <c r="I112" s="187">
        <v>2650000000</v>
      </c>
      <c r="J112" s="188">
        <v>2774743115</v>
      </c>
      <c r="K112" s="186">
        <v>2800000000</v>
      </c>
      <c r="L112" s="186">
        <f t="shared" si="26"/>
        <v>3219999999.9999995</v>
      </c>
      <c r="M112" s="186">
        <f t="shared" si="26"/>
        <v>3702999999.999999</v>
      </c>
      <c r="N112" s="186">
        <f t="shared" si="26"/>
        <v>4258449999.9999986</v>
      </c>
      <c r="O112" s="186">
        <f>+N112*1.15-500</f>
        <v>4897216999.9999981</v>
      </c>
    </row>
    <row r="113" spans="1:15" ht="30">
      <c r="A113" s="145" t="s">
        <v>300</v>
      </c>
      <c r="B113" s="131" t="s">
        <v>301</v>
      </c>
      <c r="C113" s="226">
        <v>70000000</v>
      </c>
      <c r="D113" s="226">
        <v>50547497</v>
      </c>
      <c r="E113" s="226">
        <v>52081827</v>
      </c>
      <c r="F113" s="226">
        <v>102354863</v>
      </c>
      <c r="G113" s="226">
        <v>46038140</v>
      </c>
      <c r="H113" s="186">
        <v>60882370</v>
      </c>
      <c r="I113" s="187">
        <v>70000000</v>
      </c>
      <c r="J113" s="188">
        <v>77387992</v>
      </c>
      <c r="K113" s="186">
        <v>80000000</v>
      </c>
      <c r="L113" s="186">
        <f t="shared" si="26"/>
        <v>92000000</v>
      </c>
      <c r="M113" s="186">
        <f t="shared" si="26"/>
        <v>105799999.99999999</v>
      </c>
      <c r="N113" s="186">
        <f t="shared" si="26"/>
        <v>121669999.99999997</v>
      </c>
      <c r="O113" s="186">
        <f>+N113*1.15-500</f>
        <v>139919999.99999994</v>
      </c>
    </row>
    <row r="114" spans="1:15" ht="15">
      <c r="A114" s="145"/>
      <c r="B114" s="136" t="s">
        <v>302</v>
      </c>
      <c r="C114" s="226"/>
      <c r="D114" s="226">
        <v>51422831</v>
      </c>
      <c r="E114" s="226">
        <v>352790638</v>
      </c>
      <c r="F114" s="226">
        <v>472020603</v>
      </c>
      <c r="G114" s="226">
        <v>474007730</v>
      </c>
      <c r="H114" s="186">
        <v>925704091</v>
      </c>
      <c r="I114" s="187"/>
      <c r="J114" s="188"/>
      <c r="K114" s="186"/>
      <c r="L114" s="186"/>
      <c r="M114" s="186"/>
      <c r="N114" s="186"/>
      <c r="O114" s="186"/>
    </row>
    <row r="115" spans="1:15" ht="15">
      <c r="A115" s="227">
        <v>4130105</v>
      </c>
      <c r="B115" s="136" t="s">
        <v>303</v>
      </c>
      <c r="C115" s="185">
        <v>760000000</v>
      </c>
      <c r="D115" s="185">
        <v>0</v>
      </c>
      <c r="E115" s="185">
        <v>0</v>
      </c>
      <c r="F115" s="185">
        <v>0</v>
      </c>
      <c r="G115" s="185">
        <v>0</v>
      </c>
      <c r="H115" s="186">
        <v>0</v>
      </c>
      <c r="I115" s="187">
        <v>760000000</v>
      </c>
      <c r="J115" s="188">
        <v>845810876</v>
      </c>
      <c r="K115" s="186">
        <v>800000000</v>
      </c>
      <c r="L115" s="186">
        <f t="shared" ref="L115:O118" si="27">+K115*1.15</f>
        <v>919999999.99999988</v>
      </c>
      <c r="M115" s="186">
        <f t="shared" si="27"/>
        <v>1057999999.9999998</v>
      </c>
      <c r="N115" s="186">
        <f t="shared" si="27"/>
        <v>1216699999.9999995</v>
      </c>
      <c r="O115" s="186">
        <f t="shared" si="27"/>
        <v>1399204999.9999993</v>
      </c>
    </row>
    <row r="116" spans="1:15" ht="15">
      <c r="A116" s="145" t="s">
        <v>304</v>
      </c>
      <c r="B116" s="136" t="s">
        <v>305</v>
      </c>
      <c r="C116" s="185">
        <v>300000000</v>
      </c>
      <c r="D116" s="185">
        <v>0</v>
      </c>
      <c r="E116" s="185">
        <v>0</v>
      </c>
      <c r="F116" s="185">
        <v>0</v>
      </c>
      <c r="G116" s="185">
        <v>0</v>
      </c>
      <c r="H116" s="186">
        <v>0</v>
      </c>
      <c r="I116" s="187">
        <v>300000000</v>
      </c>
      <c r="J116" s="188">
        <v>335917072</v>
      </c>
      <c r="K116" s="186">
        <v>350000000</v>
      </c>
      <c r="L116" s="186">
        <f t="shared" si="27"/>
        <v>402499999.99999994</v>
      </c>
      <c r="M116" s="186">
        <f t="shared" si="27"/>
        <v>462874999.99999988</v>
      </c>
      <c r="N116" s="186">
        <f>+M116*1.15-250</f>
        <v>532305999.99999982</v>
      </c>
      <c r="O116" s="186">
        <f>+N116*1.15+100</f>
        <v>612151999.99999976</v>
      </c>
    </row>
    <row r="117" spans="1:15" ht="15">
      <c r="A117" s="145" t="s">
        <v>306</v>
      </c>
      <c r="B117" s="131" t="s">
        <v>307</v>
      </c>
      <c r="C117" s="226">
        <v>102063000</v>
      </c>
      <c r="D117" s="226">
        <v>30928000</v>
      </c>
      <c r="E117" s="226">
        <v>41840000</v>
      </c>
      <c r="F117" s="226">
        <v>0</v>
      </c>
      <c r="G117" s="226">
        <v>0</v>
      </c>
      <c r="H117" s="186">
        <v>33005000</v>
      </c>
      <c r="I117" s="187">
        <v>102063000</v>
      </c>
      <c r="J117" s="188">
        <v>102085854</v>
      </c>
      <c r="K117" s="186">
        <v>110000000</v>
      </c>
      <c r="L117" s="186">
        <f t="shared" si="27"/>
        <v>126499999.99999999</v>
      </c>
      <c r="M117" s="186">
        <f t="shared" si="27"/>
        <v>145474999.99999997</v>
      </c>
      <c r="N117" s="186">
        <f>+M117*1.15-250</f>
        <v>167295999.99999994</v>
      </c>
      <c r="O117" s="186">
        <f>+N117*1.15-400</f>
        <v>192389999.99999991</v>
      </c>
    </row>
    <row r="118" spans="1:15" ht="30">
      <c r="A118" s="145" t="s">
        <v>308</v>
      </c>
      <c r="B118" s="131" t="s">
        <v>309</v>
      </c>
      <c r="C118" s="226">
        <v>675000000</v>
      </c>
      <c r="D118" s="226">
        <v>0</v>
      </c>
      <c r="E118" s="226">
        <v>0</v>
      </c>
      <c r="F118" s="226">
        <v>0</v>
      </c>
      <c r="G118" s="226">
        <v>420904700</v>
      </c>
      <c r="H118" s="186">
        <v>493150742</v>
      </c>
      <c r="I118" s="187">
        <v>675000000</v>
      </c>
      <c r="J118" s="188">
        <v>660316330</v>
      </c>
      <c r="K118" s="186">
        <v>800000000</v>
      </c>
      <c r="L118" s="186">
        <f t="shared" si="27"/>
        <v>919999999.99999988</v>
      </c>
      <c r="M118" s="186">
        <f t="shared" si="27"/>
        <v>1057999999.9999998</v>
      </c>
      <c r="N118" s="186">
        <f t="shared" si="27"/>
        <v>1216699999.9999995</v>
      </c>
      <c r="O118" s="186">
        <f t="shared" si="27"/>
        <v>1399204999.9999993</v>
      </c>
    </row>
    <row r="119" spans="1:15" ht="15">
      <c r="A119" s="145"/>
      <c r="B119" s="131"/>
      <c r="C119" s="131"/>
      <c r="D119" s="217"/>
      <c r="E119" s="217"/>
      <c r="F119" s="217"/>
      <c r="G119" s="217"/>
      <c r="H119" s="217"/>
      <c r="I119" s="228"/>
      <c r="J119" s="229"/>
      <c r="K119" s="217"/>
      <c r="L119" s="217"/>
      <c r="M119" s="217"/>
      <c r="N119" s="217"/>
      <c r="O119" s="217"/>
    </row>
    <row r="120" spans="1:15" ht="31.5">
      <c r="A120" s="111" t="s">
        <v>310</v>
      </c>
      <c r="B120" s="176" t="s">
        <v>120</v>
      </c>
      <c r="C120" s="113">
        <f t="shared" ref="C120:J120" si="28">SUM(C121+C138+C140+C142+C144+C137)</f>
        <v>41906000000</v>
      </c>
      <c r="D120" s="223">
        <f t="shared" si="28"/>
        <v>8954512694</v>
      </c>
      <c r="E120" s="223">
        <f t="shared" si="28"/>
        <v>11279174653</v>
      </c>
      <c r="F120" s="223">
        <f t="shared" si="28"/>
        <v>9054042832</v>
      </c>
      <c r="G120" s="223">
        <f t="shared" si="28"/>
        <v>7463883572</v>
      </c>
      <c r="H120" s="223">
        <f t="shared" si="28"/>
        <v>43450073715</v>
      </c>
      <c r="I120" s="223">
        <f t="shared" si="28"/>
        <v>42653150000</v>
      </c>
      <c r="J120" s="224">
        <f t="shared" si="28"/>
        <v>45213497442</v>
      </c>
      <c r="K120" s="223">
        <f>SUM(K121+K138+K140+K142+K144+K137)+K131</f>
        <v>41950500000</v>
      </c>
      <c r="L120" s="223">
        <f t="shared" ref="L120:O120" si="29">SUM(L121+L138+L140+L142+L144+L137)+L131</f>
        <v>59449000000</v>
      </c>
      <c r="M120" s="223">
        <f t="shared" si="29"/>
        <v>61181760000</v>
      </c>
      <c r="N120" s="223">
        <f t="shared" si="29"/>
        <v>44951503000</v>
      </c>
      <c r="O120" s="223">
        <f t="shared" si="29"/>
        <v>46259339000</v>
      </c>
    </row>
    <row r="121" spans="1:15" ht="31.5">
      <c r="A121" s="111" t="s">
        <v>311</v>
      </c>
      <c r="B121" s="112" t="s">
        <v>312</v>
      </c>
      <c r="C121" s="113">
        <f t="shared" ref="C121:H121" si="30">SUM(C122:C133)</f>
        <v>2256000000</v>
      </c>
      <c r="D121" s="223">
        <f t="shared" si="30"/>
        <v>3455371205</v>
      </c>
      <c r="E121" s="223">
        <f t="shared" si="30"/>
        <v>7469878461</v>
      </c>
      <c r="F121" s="223">
        <f t="shared" si="30"/>
        <v>3609876143</v>
      </c>
      <c r="G121" s="223">
        <f t="shared" si="30"/>
        <v>1976054622</v>
      </c>
      <c r="H121" s="223">
        <f t="shared" si="30"/>
        <v>5292786059</v>
      </c>
      <c r="I121" s="223">
        <f>SUM(I122:I134)</f>
        <v>3003150000</v>
      </c>
      <c r="J121" s="224">
        <f>SUM(J122:J134)</f>
        <v>3899760757</v>
      </c>
      <c r="K121" s="223">
        <f>SUM(K122:K129)</f>
        <v>1396500000</v>
      </c>
      <c r="L121" s="223">
        <f t="shared" ref="L121:O121" si="31">SUM(L122:L129)</f>
        <v>17203000000</v>
      </c>
      <c r="M121" s="223">
        <f t="shared" si="31"/>
        <v>17703000000</v>
      </c>
      <c r="N121" s="223">
        <f t="shared" si="31"/>
        <v>203000000</v>
      </c>
      <c r="O121" s="223">
        <f t="shared" si="31"/>
        <v>203000000</v>
      </c>
    </row>
    <row r="122" spans="1:15" ht="15">
      <c r="A122" s="145" t="s">
        <v>313</v>
      </c>
      <c r="B122" s="131" t="s">
        <v>314</v>
      </c>
      <c r="C122" s="146">
        <v>4000000</v>
      </c>
      <c r="D122" s="226">
        <v>16740000</v>
      </c>
      <c r="E122" s="226">
        <v>3615000</v>
      </c>
      <c r="F122" s="226">
        <v>1365000</v>
      </c>
      <c r="G122" s="226">
        <v>10605000</v>
      </c>
      <c r="H122" s="186">
        <v>7950000</v>
      </c>
      <c r="I122" s="187">
        <v>4000000</v>
      </c>
      <c r="J122" s="188">
        <v>9585000</v>
      </c>
      <c r="K122" s="186">
        <v>7000000</v>
      </c>
      <c r="L122" s="186">
        <v>10000000</v>
      </c>
      <c r="M122" s="186">
        <v>10000000</v>
      </c>
      <c r="N122" s="186">
        <v>10000000</v>
      </c>
      <c r="O122" s="186">
        <v>10000000</v>
      </c>
    </row>
    <row r="123" spans="1:15" ht="15">
      <c r="A123" s="145" t="s">
        <v>315</v>
      </c>
      <c r="B123" s="131" t="s">
        <v>316</v>
      </c>
      <c r="C123" s="230">
        <v>16000000</v>
      </c>
      <c r="D123" s="226">
        <v>2303000</v>
      </c>
      <c r="E123" s="226">
        <v>4155000</v>
      </c>
      <c r="F123" s="226">
        <v>24829500</v>
      </c>
      <c r="G123" s="226">
        <v>16167500</v>
      </c>
      <c r="H123" s="186">
        <v>15570500</v>
      </c>
      <c r="I123" s="187">
        <v>16000000</v>
      </c>
      <c r="J123" s="188">
        <v>16160900</v>
      </c>
      <c r="K123" s="186">
        <v>16500000</v>
      </c>
      <c r="L123" s="186">
        <v>20000000</v>
      </c>
      <c r="M123" s="186">
        <v>20000000</v>
      </c>
      <c r="N123" s="186">
        <v>20000000</v>
      </c>
      <c r="O123" s="186">
        <v>20000000</v>
      </c>
    </row>
    <row r="124" spans="1:15" ht="15">
      <c r="A124" s="145" t="s">
        <v>317</v>
      </c>
      <c r="B124" s="131" t="s">
        <v>318</v>
      </c>
      <c r="C124" s="146">
        <v>11000000</v>
      </c>
      <c r="D124" s="226">
        <v>21340000</v>
      </c>
      <c r="E124" s="226">
        <v>21280000</v>
      </c>
      <c r="F124" s="226">
        <v>20130000</v>
      </c>
      <c r="G124" s="226">
        <v>20000000</v>
      </c>
      <c r="H124" s="186">
        <v>20225000</v>
      </c>
      <c r="I124" s="187">
        <v>11000000</v>
      </c>
      <c r="J124" s="188">
        <v>22900000</v>
      </c>
      <c r="K124" s="186">
        <v>23000000</v>
      </c>
      <c r="L124" s="186">
        <v>23000000</v>
      </c>
      <c r="M124" s="186">
        <v>23000000</v>
      </c>
      <c r="N124" s="186">
        <v>23000000</v>
      </c>
      <c r="O124" s="186">
        <v>23000000</v>
      </c>
    </row>
    <row r="125" spans="1:15" ht="15">
      <c r="A125" s="145" t="s">
        <v>319</v>
      </c>
      <c r="B125" s="131" t="s">
        <v>320</v>
      </c>
      <c r="C125" s="231">
        <v>500000000</v>
      </c>
      <c r="D125" s="185">
        <v>836457900</v>
      </c>
      <c r="E125" s="185">
        <v>771891600</v>
      </c>
      <c r="F125" s="185">
        <v>501590000</v>
      </c>
      <c r="G125" s="185">
        <v>295676000</v>
      </c>
      <c r="H125" s="186">
        <v>1254080000</v>
      </c>
      <c r="I125" s="187">
        <v>210000000</v>
      </c>
      <c r="J125" s="188">
        <v>251135000</v>
      </c>
      <c r="K125" s="186">
        <v>1200000000</v>
      </c>
      <c r="L125" s="186">
        <v>0</v>
      </c>
      <c r="M125" s="186">
        <v>0</v>
      </c>
      <c r="N125" s="186">
        <v>0</v>
      </c>
      <c r="O125" s="186">
        <v>0</v>
      </c>
    </row>
    <row r="126" spans="1:15" ht="15">
      <c r="A126" s="145" t="s">
        <v>321</v>
      </c>
      <c r="B126" s="232" t="s">
        <v>322</v>
      </c>
      <c r="C126" s="233"/>
      <c r="D126" s="234">
        <v>220245000</v>
      </c>
      <c r="E126" s="234">
        <v>3199050222</v>
      </c>
      <c r="F126" s="234">
        <v>1492136675</v>
      </c>
      <c r="G126" s="234">
        <v>711805000</v>
      </c>
      <c r="H126" s="235">
        <v>1906912700</v>
      </c>
      <c r="I126" s="236">
        <v>1000000000</v>
      </c>
      <c r="J126" s="237">
        <v>1003459153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</row>
    <row r="127" spans="1:15" ht="15">
      <c r="A127" s="145"/>
      <c r="B127" s="232" t="s">
        <v>323</v>
      </c>
      <c r="C127" s="233"/>
      <c r="D127" s="234"/>
      <c r="E127" s="234"/>
      <c r="F127" s="234"/>
      <c r="G127" s="234"/>
      <c r="H127" s="235"/>
      <c r="I127" s="236"/>
      <c r="J127" s="237"/>
      <c r="K127" s="235"/>
      <c r="L127" s="235">
        <v>17000000000</v>
      </c>
      <c r="M127" s="235">
        <v>17500000000</v>
      </c>
      <c r="N127" s="235"/>
      <c r="O127" s="235"/>
    </row>
    <row r="128" spans="1:15" ht="15">
      <c r="A128" s="145"/>
      <c r="B128" s="238" t="s">
        <v>324</v>
      </c>
      <c r="C128" s="239">
        <v>20000000</v>
      </c>
      <c r="D128" s="234">
        <v>0</v>
      </c>
      <c r="E128" s="234">
        <v>0</v>
      </c>
      <c r="F128" s="234">
        <v>0</v>
      </c>
      <c r="G128" s="234">
        <v>0</v>
      </c>
      <c r="H128" s="235">
        <v>0</v>
      </c>
      <c r="I128" s="236">
        <v>20000000</v>
      </c>
      <c r="J128" s="237">
        <v>5000000</v>
      </c>
      <c r="K128" s="235">
        <v>0</v>
      </c>
      <c r="L128" s="235">
        <v>0</v>
      </c>
      <c r="M128" s="235">
        <v>0</v>
      </c>
      <c r="N128" s="235">
        <v>0</v>
      </c>
      <c r="O128" s="235">
        <v>0</v>
      </c>
    </row>
    <row r="129" spans="1:15" ht="15">
      <c r="A129" s="145" t="s">
        <v>325</v>
      </c>
      <c r="B129" s="131" t="s">
        <v>326</v>
      </c>
      <c r="C129" s="146">
        <v>800000000</v>
      </c>
      <c r="D129" s="240">
        <v>2358285305</v>
      </c>
      <c r="E129" s="240">
        <v>3469886639</v>
      </c>
      <c r="F129" s="240">
        <v>1569824968</v>
      </c>
      <c r="G129" s="240">
        <v>921801122</v>
      </c>
      <c r="H129" s="186">
        <v>963508509</v>
      </c>
      <c r="I129" s="187">
        <v>787150000</v>
      </c>
      <c r="J129" s="188">
        <v>1434221334</v>
      </c>
      <c r="K129" s="186">
        <v>150000000</v>
      </c>
      <c r="L129" s="186">
        <v>150000000</v>
      </c>
      <c r="M129" s="186">
        <v>150000000</v>
      </c>
      <c r="N129" s="186">
        <v>150000000</v>
      </c>
      <c r="O129" s="186">
        <v>150000000</v>
      </c>
    </row>
    <row r="130" spans="1:15" ht="15">
      <c r="A130" s="145"/>
      <c r="B130" s="131" t="s">
        <v>327</v>
      </c>
      <c r="C130" s="146"/>
      <c r="D130" s="226"/>
      <c r="E130" s="226"/>
      <c r="F130" s="226"/>
      <c r="G130" s="226"/>
      <c r="H130" s="186">
        <v>4787650</v>
      </c>
      <c r="I130" s="187"/>
      <c r="J130" s="188"/>
      <c r="K130" s="186"/>
      <c r="L130" s="186"/>
      <c r="M130" s="186"/>
      <c r="N130" s="186"/>
      <c r="O130" s="186"/>
    </row>
    <row r="131" spans="1:15" ht="45">
      <c r="A131" s="145"/>
      <c r="B131" s="136" t="s">
        <v>328</v>
      </c>
      <c r="C131" s="146"/>
      <c r="D131" s="226"/>
      <c r="E131" s="226"/>
      <c r="F131" s="226"/>
      <c r="G131" s="226"/>
      <c r="H131" s="186"/>
      <c r="I131" s="187"/>
      <c r="J131" s="188"/>
      <c r="K131" s="186">
        <f>+K132+K133+K135</f>
        <v>3624000000</v>
      </c>
      <c r="L131" s="186">
        <f t="shared" ref="L131:O131" si="32">+L132+L133+L135</f>
        <v>1124000000</v>
      </c>
      <c r="M131" s="186">
        <f t="shared" si="32"/>
        <v>1124000000</v>
      </c>
      <c r="N131" s="186">
        <f t="shared" si="32"/>
        <v>1124000000</v>
      </c>
      <c r="O131" s="186">
        <f t="shared" si="32"/>
        <v>1124000000</v>
      </c>
    </row>
    <row r="132" spans="1:15" ht="15">
      <c r="A132" s="145"/>
      <c r="B132" s="241" t="s">
        <v>329</v>
      </c>
      <c r="C132" s="242">
        <v>5000000</v>
      </c>
      <c r="D132" s="226">
        <v>0</v>
      </c>
      <c r="E132" s="226">
        <v>0</v>
      </c>
      <c r="F132" s="226">
        <v>0</v>
      </c>
      <c r="G132" s="226">
        <v>0</v>
      </c>
      <c r="H132" s="186">
        <v>0</v>
      </c>
      <c r="I132" s="187">
        <v>5000000</v>
      </c>
      <c r="J132" s="188">
        <v>5223700</v>
      </c>
      <c r="K132" s="186">
        <v>5000000</v>
      </c>
      <c r="L132" s="186">
        <v>5000000</v>
      </c>
      <c r="M132" s="186">
        <v>5000000</v>
      </c>
      <c r="N132" s="186">
        <v>5000000</v>
      </c>
      <c r="O132" s="186">
        <v>5000000</v>
      </c>
    </row>
    <row r="133" spans="1:15" ht="15">
      <c r="A133" s="227">
        <v>4140126</v>
      </c>
      <c r="B133" s="131" t="s">
        <v>330</v>
      </c>
      <c r="C133" s="146">
        <v>900000000</v>
      </c>
      <c r="D133" s="243">
        <v>0</v>
      </c>
      <c r="E133" s="243">
        <v>0</v>
      </c>
      <c r="F133" s="243">
        <v>0</v>
      </c>
      <c r="G133" s="243">
        <v>0</v>
      </c>
      <c r="H133" s="217">
        <v>1119751700</v>
      </c>
      <c r="I133" s="228">
        <v>900000000</v>
      </c>
      <c r="J133" s="229">
        <v>1052075670</v>
      </c>
      <c r="K133" s="217">
        <v>1119000000</v>
      </c>
      <c r="L133" s="217">
        <v>1119000000</v>
      </c>
      <c r="M133" s="217">
        <v>1119000000</v>
      </c>
      <c r="N133" s="217">
        <v>1119000000</v>
      </c>
      <c r="O133" s="217">
        <v>1119000000</v>
      </c>
    </row>
    <row r="134" spans="1:15" ht="15">
      <c r="A134" s="145"/>
      <c r="B134" s="238" t="s">
        <v>331</v>
      </c>
      <c r="C134" s="244"/>
      <c r="D134" s="243"/>
      <c r="E134" s="243"/>
      <c r="F134" s="243"/>
      <c r="G134" s="243"/>
      <c r="H134" s="217"/>
      <c r="I134" s="228">
        <v>50000000</v>
      </c>
      <c r="J134" s="229">
        <v>100000000</v>
      </c>
      <c r="K134" s="245">
        <v>0</v>
      </c>
      <c r="L134" s="245">
        <v>0</v>
      </c>
      <c r="M134" s="245">
        <v>0</v>
      </c>
      <c r="N134" s="245">
        <v>0</v>
      </c>
      <c r="O134" s="245">
        <v>0</v>
      </c>
    </row>
    <row r="135" spans="1:15" ht="15">
      <c r="A135" s="145"/>
      <c r="B135" s="238"/>
      <c r="C135" s="244"/>
      <c r="D135" s="243"/>
      <c r="E135" s="243"/>
      <c r="F135" s="243"/>
      <c r="G135" s="243"/>
      <c r="H135" s="217"/>
      <c r="I135" s="228"/>
      <c r="J135" s="229"/>
      <c r="K135" s="217">
        <v>2500000000</v>
      </c>
      <c r="L135" s="217">
        <v>0</v>
      </c>
      <c r="M135" s="217">
        <v>0</v>
      </c>
      <c r="N135" s="217">
        <v>0</v>
      </c>
      <c r="O135" s="217">
        <v>0</v>
      </c>
    </row>
    <row r="136" spans="1:15" ht="15">
      <c r="A136" s="145"/>
      <c r="B136" s="238"/>
      <c r="C136" s="244"/>
      <c r="D136" s="243"/>
      <c r="E136" s="243"/>
      <c r="F136" s="243"/>
      <c r="G136" s="243"/>
      <c r="H136" s="217"/>
      <c r="I136" s="228"/>
      <c r="J136" s="229"/>
      <c r="K136" s="217"/>
      <c r="L136" s="217"/>
      <c r="M136" s="217"/>
      <c r="N136" s="217"/>
      <c r="O136" s="217"/>
    </row>
    <row r="137" spans="1:15" s="83" customFormat="1" ht="15">
      <c r="A137" s="145" t="s">
        <v>332</v>
      </c>
      <c r="B137" s="232" t="s">
        <v>333</v>
      </c>
      <c r="C137" s="244">
        <v>5100000000</v>
      </c>
      <c r="D137" s="217">
        <v>5365316489</v>
      </c>
      <c r="E137" s="217">
        <v>3666771192</v>
      </c>
      <c r="F137" s="217">
        <v>5327196689</v>
      </c>
      <c r="G137" s="217">
        <v>5375014950</v>
      </c>
      <c r="H137" s="217">
        <v>7194869204</v>
      </c>
      <c r="I137" s="228">
        <v>5100000000</v>
      </c>
      <c r="J137" s="229">
        <v>6482233541</v>
      </c>
      <c r="K137" s="217">
        <v>6400000000</v>
      </c>
      <c r="L137" s="217">
        <f>+K137*1.03</f>
        <v>6592000000</v>
      </c>
      <c r="M137" s="217">
        <f>+L137*1.03</f>
        <v>6789760000</v>
      </c>
      <c r="N137" s="217">
        <f>+M137*1.03+200</f>
        <v>6993453000</v>
      </c>
      <c r="O137" s="217">
        <f>+N137*1.03+410</f>
        <v>7203257000</v>
      </c>
    </row>
    <row r="138" spans="1:15" ht="15.75">
      <c r="A138" s="111" t="s">
        <v>334</v>
      </c>
      <c r="B138" s="112" t="s">
        <v>335</v>
      </c>
      <c r="C138" s="113">
        <f>SUM(C139:C139)</f>
        <v>10000000</v>
      </c>
      <c r="D138" s="113">
        <f>SUM(D139:D139)</f>
        <v>8825000</v>
      </c>
      <c r="E138" s="113">
        <v>17525000</v>
      </c>
      <c r="F138" s="113">
        <v>13670000</v>
      </c>
      <c r="G138" s="113">
        <f>SUM(G139:G139)</f>
        <v>7340000</v>
      </c>
      <c r="H138" s="113">
        <f>SUM(H139:H139)</f>
        <v>19370000</v>
      </c>
      <c r="I138" s="127">
        <f>SUM(I139:I139)</f>
        <v>10000000</v>
      </c>
      <c r="J138" s="114">
        <f>SUM(J139:J139)</f>
        <v>2650000</v>
      </c>
      <c r="K138" s="113">
        <f>SUM(K139:K139)</f>
        <v>10000000</v>
      </c>
      <c r="L138" s="113">
        <f t="shared" ref="L138:O138" si="33">SUM(L139:L139)</f>
        <v>10000000</v>
      </c>
      <c r="M138" s="113">
        <f t="shared" si="33"/>
        <v>10000000</v>
      </c>
      <c r="N138" s="113">
        <f t="shared" si="33"/>
        <v>10000000</v>
      </c>
      <c r="O138" s="113">
        <f t="shared" si="33"/>
        <v>10000000</v>
      </c>
    </row>
    <row r="139" spans="1:15" s="83" customFormat="1" ht="15">
      <c r="A139" s="145" t="s">
        <v>336</v>
      </c>
      <c r="B139" s="131" t="s">
        <v>337</v>
      </c>
      <c r="C139" s="146">
        <v>10000000</v>
      </c>
      <c r="D139" s="217">
        <v>8825000</v>
      </c>
      <c r="E139" s="217">
        <v>17525000</v>
      </c>
      <c r="F139" s="217">
        <v>13670000</v>
      </c>
      <c r="G139" s="217">
        <v>7340000</v>
      </c>
      <c r="H139" s="217">
        <v>19370000</v>
      </c>
      <c r="I139" s="217">
        <v>10000000</v>
      </c>
      <c r="J139" s="229">
        <v>2650000</v>
      </c>
      <c r="K139" s="217">
        <v>10000000</v>
      </c>
      <c r="L139" s="217">
        <v>10000000</v>
      </c>
      <c r="M139" s="217">
        <v>10000000</v>
      </c>
      <c r="N139" s="217">
        <v>10000000</v>
      </c>
      <c r="O139" s="217">
        <v>10000000</v>
      </c>
    </row>
    <row r="140" spans="1:15" s="83" customFormat="1" ht="15.75">
      <c r="A140" s="111" t="s">
        <v>338</v>
      </c>
      <c r="B140" s="202" t="s">
        <v>339</v>
      </c>
      <c r="C140" s="113">
        <f>C141</f>
        <v>40000000</v>
      </c>
      <c r="D140" s="113">
        <f>D141</f>
        <v>0</v>
      </c>
      <c r="E140" s="113">
        <f t="shared" ref="E140:O140" si="34">E141</f>
        <v>0</v>
      </c>
      <c r="F140" s="113">
        <f t="shared" si="34"/>
        <v>103300000</v>
      </c>
      <c r="G140" s="113">
        <f t="shared" si="34"/>
        <v>105474000</v>
      </c>
      <c r="H140" s="113">
        <f t="shared" si="34"/>
        <v>78535000</v>
      </c>
      <c r="I140" s="113">
        <f t="shared" si="34"/>
        <v>40000000</v>
      </c>
      <c r="J140" s="114">
        <f t="shared" si="34"/>
        <v>41245000</v>
      </c>
      <c r="K140" s="113">
        <f t="shared" si="34"/>
        <v>20000000</v>
      </c>
      <c r="L140" s="113">
        <f t="shared" si="34"/>
        <v>20000000</v>
      </c>
      <c r="M140" s="113">
        <f t="shared" si="34"/>
        <v>20000000</v>
      </c>
      <c r="N140" s="113">
        <f t="shared" si="34"/>
        <v>20000000</v>
      </c>
      <c r="O140" s="113">
        <f t="shared" si="34"/>
        <v>20000000</v>
      </c>
    </row>
    <row r="141" spans="1:15" s="83" customFormat="1" ht="30">
      <c r="A141" s="145" t="s">
        <v>340</v>
      </c>
      <c r="B141" s="136" t="s">
        <v>341</v>
      </c>
      <c r="C141" s="149">
        <v>40000000</v>
      </c>
      <c r="D141" s="217">
        <v>0</v>
      </c>
      <c r="E141" s="217">
        <v>0</v>
      </c>
      <c r="F141" s="217">
        <v>103300000</v>
      </c>
      <c r="G141" s="217">
        <v>105474000</v>
      </c>
      <c r="H141" s="217">
        <v>78535000</v>
      </c>
      <c r="I141" s="217">
        <v>40000000</v>
      </c>
      <c r="J141" s="229">
        <v>41245000</v>
      </c>
      <c r="K141" s="217">
        <v>20000000</v>
      </c>
      <c r="L141" s="217">
        <v>20000000</v>
      </c>
      <c r="M141" s="217">
        <v>20000000</v>
      </c>
      <c r="N141" s="217">
        <v>20000000</v>
      </c>
      <c r="O141" s="217">
        <v>20000000</v>
      </c>
    </row>
    <row r="142" spans="1:15" ht="15.75">
      <c r="A142" s="111" t="s">
        <v>342</v>
      </c>
      <c r="B142" s="202" t="s">
        <v>343</v>
      </c>
      <c r="C142" s="113">
        <f t="shared" ref="C142:O142" si="35">SUM(C143:C143)</f>
        <v>34500000000</v>
      </c>
      <c r="D142" s="113">
        <f t="shared" si="35"/>
        <v>0</v>
      </c>
      <c r="E142" s="113">
        <f t="shared" si="35"/>
        <v>0</v>
      </c>
      <c r="F142" s="113">
        <f t="shared" si="35"/>
        <v>0</v>
      </c>
      <c r="G142" s="113">
        <f t="shared" si="35"/>
        <v>0</v>
      </c>
      <c r="H142" s="113">
        <f t="shared" si="35"/>
        <v>30864513452</v>
      </c>
      <c r="I142" s="127">
        <f t="shared" si="35"/>
        <v>34500000000</v>
      </c>
      <c r="J142" s="114">
        <f t="shared" si="35"/>
        <v>34787608144</v>
      </c>
      <c r="K142" s="113">
        <f t="shared" si="35"/>
        <v>30500000000</v>
      </c>
      <c r="L142" s="113">
        <f t="shared" si="35"/>
        <v>34500000000</v>
      </c>
      <c r="M142" s="113">
        <f t="shared" si="35"/>
        <v>35535000000</v>
      </c>
      <c r="N142" s="113">
        <f t="shared" si="35"/>
        <v>36601050000</v>
      </c>
      <c r="O142" s="113">
        <f t="shared" si="35"/>
        <v>37699082000</v>
      </c>
    </row>
    <row r="143" spans="1:15" ht="15">
      <c r="A143" s="145" t="s">
        <v>344</v>
      </c>
      <c r="B143" s="136" t="s">
        <v>343</v>
      </c>
      <c r="C143" s="149">
        <v>34500000000</v>
      </c>
      <c r="D143" s="217">
        <v>0</v>
      </c>
      <c r="E143" s="217">
        <v>0</v>
      </c>
      <c r="F143" s="217">
        <v>0</v>
      </c>
      <c r="G143" s="217">
        <v>0</v>
      </c>
      <c r="H143" s="217">
        <v>30864513452</v>
      </c>
      <c r="I143" s="228">
        <v>34500000000</v>
      </c>
      <c r="J143" s="229">
        <v>34787608144</v>
      </c>
      <c r="K143" s="217">
        <v>30500000000</v>
      </c>
      <c r="L143" s="217">
        <v>34500000000</v>
      </c>
      <c r="M143" s="217">
        <f>+L143*1.03</f>
        <v>35535000000</v>
      </c>
      <c r="N143" s="217">
        <f>+M143*1.03</f>
        <v>36601050000</v>
      </c>
      <c r="O143" s="217">
        <f>+N143*1.03+500</f>
        <v>37699082000</v>
      </c>
    </row>
    <row r="144" spans="1:15" ht="15.75">
      <c r="A144" s="111" t="s">
        <v>345</v>
      </c>
      <c r="B144" s="202" t="s">
        <v>346</v>
      </c>
      <c r="C144" s="202"/>
      <c r="D144" s="113">
        <f>+D145</f>
        <v>125000000</v>
      </c>
      <c r="E144" s="113">
        <f t="shared" ref="E144:O144" si="36">+E145</f>
        <v>125000000</v>
      </c>
      <c r="F144" s="113">
        <f t="shared" si="36"/>
        <v>0</v>
      </c>
      <c r="G144" s="113">
        <f t="shared" si="36"/>
        <v>0</v>
      </c>
      <c r="H144" s="113">
        <f t="shared" si="36"/>
        <v>0</v>
      </c>
      <c r="I144" s="127"/>
      <c r="J144" s="114">
        <f t="shared" si="36"/>
        <v>0</v>
      </c>
      <c r="K144" s="113">
        <f t="shared" si="36"/>
        <v>0</v>
      </c>
      <c r="L144" s="113">
        <f t="shared" si="36"/>
        <v>0</v>
      </c>
      <c r="M144" s="113">
        <f t="shared" si="36"/>
        <v>0</v>
      </c>
      <c r="N144" s="113">
        <f t="shared" si="36"/>
        <v>0</v>
      </c>
      <c r="O144" s="113">
        <f t="shared" si="36"/>
        <v>0</v>
      </c>
    </row>
    <row r="145" spans="1:15" ht="15">
      <c r="A145" s="145" t="s">
        <v>347</v>
      </c>
      <c r="B145" s="136" t="s">
        <v>348</v>
      </c>
      <c r="C145" s="136"/>
      <c r="D145" s="217">
        <v>125000000</v>
      </c>
      <c r="E145" s="217">
        <v>125000000</v>
      </c>
      <c r="F145" s="217">
        <v>0</v>
      </c>
      <c r="G145" s="217"/>
      <c r="H145" s="217"/>
      <c r="I145" s="228"/>
      <c r="J145" s="229"/>
      <c r="K145" s="217"/>
      <c r="L145" s="217"/>
      <c r="M145" s="217"/>
      <c r="N145" s="217"/>
      <c r="O145" s="217"/>
    </row>
    <row r="146" spans="1:15" ht="15">
      <c r="A146" s="145"/>
      <c r="B146" s="131"/>
      <c r="C146" s="131"/>
      <c r="D146" s="217"/>
      <c r="E146" s="217"/>
      <c r="F146" s="217"/>
      <c r="G146" s="217"/>
      <c r="H146" s="217"/>
      <c r="I146" s="228"/>
      <c r="J146" s="229"/>
      <c r="K146" s="217"/>
      <c r="L146" s="217"/>
      <c r="M146" s="217"/>
      <c r="N146" s="217"/>
      <c r="O146" s="217"/>
    </row>
    <row r="147" spans="1:15" ht="15.75">
      <c r="A147" s="111" t="s">
        <v>349</v>
      </c>
      <c r="B147" s="112" t="s">
        <v>350</v>
      </c>
      <c r="C147" s="112"/>
      <c r="D147" s="113">
        <f t="shared" ref="D147:J147" si="37">SUM(D148+D160+D163)</f>
        <v>497563580868</v>
      </c>
      <c r="E147" s="113">
        <f t="shared" si="37"/>
        <v>515228881135</v>
      </c>
      <c r="F147" s="113">
        <f t="shared" si="37"/>
        <v>522185893892</v>
      </c>
      <c r="G147" s="113">
        <f t="shared" si="37"/>
        <v>574917319097</v>
      </c>
      <c r="H147" s="113">
        <f t="shared" si="37"/>
        <v>707239144911</v>
      </c>
      <c r="I147" s="113">
        <f t="shared" si="37"/>
        <v>749673444000</v>
      </c>
      <c r="J147" s="114">
        <f t="shared" si="37"/>
        <v>743027752791</v>
      </c>
      <c r="K147" s="113">
        <f>SUM(K148+K160+K163)+K166</f>
        <v>814110167000.30249</v>
      </c>
      <c r="L147" s="113">
        <f t="shared" ref="L147:N147" si="38">SUM(L148+L160+L163)+L166</f>
        <v>922921743699.5481</v>
      </c>
      <c r="M147" s="113">
        <f t="shared" si="38"/>
        <v>987067045871.47302</v>
      </c>
      <c r="N147" s="113">
        <f t="shared" si="38"/>
        <v>1066030625537.2253</v>
      </c>
      <c r="O147" s="113">
        <f>SUM(O148+O160+O163)+O166+1</f>
        <v>1140553843486</v>
      </c>
    </row>
    <row r="148" spans="1:15" ht="31.5">
      <c r="A148" s="111" t="s">
        <v>351</v>
      </c>
      <c r="B148" s="112" t="s">
        <v>352</v>
      </c>
      <c r="C148" s="112"/>
      <c r="D148" s="113">
        <f t="shared" ref="D148:O148" si="39">SUM(D149+D153)</f>
        <v>28359251868</v>
      </c>
      <c r="E148" s="113">
        <f t="shared" si="39"/>
        <v>33774574135</v>
      </c>
      <c r="F148" s="113">
        <f t="shared" si="39"/>
        <v>37300870892</v>
      </c>
      <c r="G148" s="113">
        <f t="shared" si="39"/>
        <v>34945207097</v>
      </c>
      <c r="H148" s="113">
        <f t="shared" si="39"/>
        <v>35777146911</v>
      </c>
      <c r="I148" s="113">
        <f t="shared" si="39"/>
        <v>51843530000</v>
      </c>
      <c r="J148" s="114">
        <f t="shared" si="39"/>
        <v>50228458791</v>
      </c>
      <c r="K148" s="113">
        <f t="shared" si="39"/>
        <v>45642604000.302536</v>
      </c>
      <c r="L148" s="113">
        <f t="shared" si="39"/>
        <v>53760500000</v>
      </c>
      <c r="M148" s="113">
        <f t="shared" si="39"/>
        <v>54486500000</v>
      </c>
      <c r="N148" s="113">
        <f t="shared" si="39"/>
        <v>55202500000</v>
      </c>
      <c r="O148" s="113">
        <f t="shared" si="39"/>
        <v>56119500000</v>
      </c>
    </row>
    <row r="149" spans="1:15" ht="15.75">
      <c r="A149" s="111" t="s">
        <v>353</v>
      </c>
      <c r="B149" s="112" t="s">
        <v>354</v>
      </c>
      <c r="C149" s="112"/>
      <c r="D149" s="113">
        <f t="shared" ref="D149:K149" si="40">SUM(D150:D152)</f>
        <v>27653120252</v>
      </c>
      <c r="E149" s="113">
        <f t="shared" si="40"/>
        <v>33169421310</v>
      </c>
      <c r="F149" s="113">
        <f t="shared" si="40"/>
        <v>36709924104</v>
      </c>
      <c r="G149" s="113">
        <f t="shared" si="40"/>
        <v>34163818790</v>
      </c>
      <c r="H149" s="113">
        <f t="shared" si="40"/>
        <v>34819961018</v>
      </c>
      <c r="I149" s="113">
        <f t="shared" ref="I149" si="41">SUM(I150:I152)</f>
        <v>28923977000</v>
      </c>
      <c r="J149" s="114">
        <f t="shared" si="40"/>
        <v>23225082234</v>
      </c>
      <c r="K149" s="113">
        <f t="shared" si="40"/>
        <v>24000000000</v>
      </c>
      <c r="L149" s="113">
        <f t="shared" ref="L149:O149" si="42">SUM(L150:L152)</f>
        <v>25200000000</v>
      </c>
      <c r="M149" s="113">
        <f t="shared" si="42"/>
        <v>25900000000</v>
      </c>
      <c r="N149" s="113">
        <f t="shared" si="42"/>
        <v>26600000000</v>
      </c>
      <c r="O149" s="113">
        <f t="shared" si="42"/>
        <v>27800000000</v>
      </c>
    </row>
    <row r="150" spans="1:15" s="247" customFormat="1" ht="30">
      <c r="A150" s="145" t="s">
        <v>355</v>
      </c>
      <c r="B150" s="131" t="s">
        <v>356</v>
      </c>
      <c r="C150" s="131"/>
      <c r="D150" s="186">
        <v>19720027048</v>
      </c>
      <c r="E150" s="186">
        <v>24045081019</v>
      </c>
      <c r="F150" s="186">
        <v>27303043469</v>
      </c>
      <c r="G150" s="186">
        <v>28240753579</v>
      </c>
      <c r="H150" s="186">
        <v>25605500380</v>
      </c>
      <c r="I150" s="187">
        <v>18228137000</v>
      </c>
      <c r="J150" s="186">
        <v>14737457045</v>
      </c>
      <c r="K150" s="186">
        <v>15000000000</v>
      </c>
      <c r="L150" s="246">
        <v>16000000000</v>
      </c>
      <c r="M150" s="246">
        <v>16500000000</v>
      </c>
      <c r="N150" s="246">
        <v>17000000000</v>
      </c>
      <c r="O150" s="246">
        <v>18000000000</v>
      </c>
    </row>
    <row r="151" spans="1:15" s="247" customFormat="1" ht="15">
      <c r="A151" s="145"/>
      <c r="B151" s="136" t="s">
        <v>357</v>
      </c>
      <c r="C151" s="131"/>
      <c r="D151" s="217">
        <v>3403122590</v>
      </c>
      <c r="E151" s="186">
        <v>5097988808</v>
      </c>
      <c r="F151" s="186">
        <v>4251049680</v>
      </c>
      <c r="G151" s="186">
        <v>0</v>
      </c>
      <c r="H151" s="186">
        <v>0</v>
      </c>
      <c r="I151" s="187"/>
      <c r="J151" s="186"/>
      <c r="K151" s="186"/>
      <c r="L151" s="186"/>
      <c r="M151" s="186"/>
      <c r="N151" s="186"/>
      <c r="O151" s="186"/>
    </row>
    <row r="152" spans="1:15" s="83" customFormat="1" ht="60">
      <c r="A152" s="248" t="s">
        <v>358</v>
      </c>
      <c r="B152" s="249" t="s">
        <v>359</v>
      </c>
      <c r="C152" s="249"/>
      <c r="D152" s="217">
        <v>4529970614</v>
      </c>
      <c r="E152" s="217">
        <v>4026351483</v>
      </c>
      <c r="F152" s="217">
        <v>5155830955</v>
      </c>
      <c r="G152" s="217">
        <v>5923065211</v>
      </c>
      <c r="H152" s="217">
        <v>9214460638</v>
      </c>
      <c r="I152" s="228">
        <v>10695840000</v>
      </c>
      <c r="J152" s="217">
        <v>8487625189</v>
      </c>
      <c r="K152" s="217">
        <v>9000000000</v>
      </c>
      <c r="L152" s="250">
        <v>9200000000</v>
      </c>
      <c r="M152" s="250">
        <v>9400000000</v>
      </c>
      <c r="N152" s="250">
        <v>9600000000</v>
      </c>
      <c r="O152" s="250">
        <v>9800000000</v>
      </c>
    </row>
    <row r="153" spans="1:15" s="83" customFormat="1" ht="31.5">
      <c r="A153" s="111" t="s">
        <v>360</v>
      </c>
      <c r="B153" s="251" t="s">
        <v>361</v>
      </c>
      <c r="C153" s="112"/>
      <c r="D153" s="113">
        <f t="shared" ref="D153:H153" si="43">SUM(D154:D157)</f>
        <v>706131616</v>
      </c>
      <c r="E153" s="113">
        <f t="shared" si="43"/>
        <v>605152825</v>
      </c>
      <c r="F153" s="113">
        <f t="shared" si="43"/>
        <v>590946788</v>
      </c>
      <c r="G153" s="113">
        <f t="shared" si="43"/>
        <v>781388307</v>
      </c>
      <c r="H153" s="113">
        <f t="shared" si="43"/>
        <v>957185893</v>
      </c>
      <c r="I153" s="127">
        <f>SUM(I154:I159)</f>
        <v>22919553000</v>
      </c>
      <c r="J153" s="113">
        <f>SUM(J154:J159)</f>
        <v>27003376557</v>
      </c>
      <c r="K153" s="113">
        <f>SUM(K154:K159)</f>
        <v>21642604000.30254</v>
      </c>
      <c r="L153" s="113">
        <f t="shared" ref="L153:O153" si="44">SUM(L154:L159)</f>
        <v>28560500000</v>
      </c>
      <c r="M153" s="113">
        <f t="shared" si="44"/>
        <v>28586500000</v>
      </c>
      <c r="N153" s="113">
        <f t="shared" si="44"/>
        <v>28602500000</v>
      </c>
      <c r="O153" s="113">
        <f t="shared" si="44"/>
        <v>28319500000</v>
      </c>
    </row>
    <row r="154" spans="1:15" s="83" customFormat="1" ht="30">
      <c r="A154" s="145" t="s">
        <v>362</v>
      </c>
      <c r="B154" s="131" t="s">
        <v>363</v>
      </c>
      <c r="C154" s="131"/>
      <c r="D154" s="186">
        <v>476068667</v>
      </c>
      <c r="E154" s="186">
        <v>448611115</v>
      </c>
      <c r="F154" s="186">
        <v>405981901</v>
      </c>
      <c r="G154" s="186">
        <v>424288119</v>
      </c>
      <c r="H154" s="186">
        <v>445992461</v>
      </c>
      <c r="I154" s="187">
        <v>418672000</v>
      </c>
      <c r="J154" s="186">
        <v>491787833</v>
      </c>
      <c r="K154" s="186">
        <f>+(J154-H154)/H154*J154/100*1000-297</f>
        <v>504977000.3025406</v>
      </c>
      <c r="L154" s="246">
        <v>530000000</v>
      </c>
      <c r="M154" s="246">
        <v>556000000</v>
      </c>
      <c r="N154" s="246">
        <v>572000000</v>
      </c>
      <c r="O154" s="246">
        <v>289000000</v>
      </c>
    </row>
    <row r="155" spans="1:15" s="83" customFormat="1" ht="30">
      <c r="A155" s="145" t="s">
        <v>364</v>
      </c>
      <c r="B155" s="131" t="s">
        <v>365</v>
      </c>
      <c r="C155" s="131"/>
      <c r="D155" s="186">
        <v>163213161</v>
      </c>
      <c r="E155" s="186">
        <v>96517277</v>
      </c>
      <c r="F155" s="186">
        <v>133334511</v>
      </c>
      <c r="G155" s="186">
        <v>261048242</v>
      </c>
      <c r="H155" s="186">
        <v>343986219</v>
      </c>
      <c r="I155" s="187">
        <v>289738000</v>
      </c>
      <c r="J155" s="186">
        <v>347408873</v>
      </c>
      <c r="K155" s="186">
        <v>347000000</v>
      </c>
      <c r="L155" s="246">
        <v>347000000</v>
      </c>
      <c r="M155" s="246">
        <v>347000000</v>
      </c>
      <c r="N155" s="246">
        <v>347000000</v>
      </c>
      <c r="O155" s="246">
        <v>347000000</v>
      </c>
    </row>
    <row r="156" spans="1:15" s="83" customFormat="1" ht="30">
      <c r="A156" s="145" t="s">
        <v>366</v>
      </c>
      <c r="B156" s="131" t="s">
        <v>367</v>
      </c>
      <c r="C156" s="131"/>
      <c r="D156" s="186">
        <v>8905984</v>
      </c>
      <c r="E156" s="186">
        <v>42281111</v>
      </c>
      <c r="F156" s="186">
        <v>1646797</v>
      </c>
      <c r="G156" s="186">
        <v>18552080</v>
      </c>
      <c r="H156" s="186">
        <v>76934580</v>
      </c>
      <c r="I156" s="187">
        <v>75416000</v>
      </c>
      <c r="J156" s="186">
        <v>79039590</v>
      </c>
      <c r="K156" s="186">
        <v>80000000</v>
      </c>
      <c r="L156" s="246">
        <v>80000000</v>
      </c>
      <c r="M156" s="246">
        <v>80000000</v>
      </c>
      <c r="N156" s="246">
        <v>80000000</v>
      </c>
      <c r="O156" s="246">
        <v>80000000</v>
      </c>
    </row>
    <row r="157" spans="1:15" s="83" customFormat="1" ht="30">
      <c r="A157" s="145" t="s">
        <v>368</v>
      </c>
      <c r="B157" s="131" t="s">
        <v>369</v>
      </c>
      <c r="C157" s="131"/>
      <c r="D157" s="186">
        <v>57943804</v>
      </c>
      <c r="E157" s="186">
        <v>17743322</v>
      </c>
      <c r="F157" s="186">
        <v>49983579</v>
      </c>
      <c r="G157" s="186">
        <v>77499866</v>
      </c>
      <c r="H157" s="186">
        <v>90272633</v>
      </c>
      <c r="I157" s="187">
        <v>98611000</v>
      </c>
      <c r="J157" s="186">
        <v>98798033</v>
      </c>
      <c r="K157" s="186">
        <v>98000000</v>
      </c>
      <c r="L157" s="246">
        <v>98000000</v>
      </c>
      <c r="M157" s="186">
        <f>+L157</f>
        <v>98000000</v>
      </c>
      <c r="N157" s="186">
        <f>+M157</f>
        <v>98000000</v>
      </c>
      <c r="O157" s="186">
        <f>+N157</f>
        <v>98000000</v>
      </c>
    </row>
    <row r="158" spans="1:15" s="83" customFormat="1" ht="15">
      <c r="A158" s="145"/>
      <c r="B158" s="136" t="s">
        <v>370</v>
      </c>
      <c r="C158" s="131"/>
      <c r="D158" s="186"/>
      <c r="E158" s="186"/>
      <c r="F158" s="186"/>
      <c r="G158" s="186"/>
      <c r="H158" s="186"/>
      <c r="I158" s="187">
        <v>12047000</v>
      </c>
      <c r="J158" s="186">
        <v>5309385</v>
      </c>
      <c r="K158" s="186">
        <v>5500000</v>
      </c>
      <c r="L158" s="186">
        <v>5500000</v>
      </c>
      <c r="M158" s="186">
        <v>5500000</v>
      </c>
      <c r="N158" s="186">
        <v>5500000</v>
      </c>
      <c r="O158" s="186">
        <v>5500000</v>
      </c>
    </row>
    <row r="159" spans="1:15" s="83" customFormat="1" ht="15">
      <c r="A159" s="145"/>
      <c r="B159" s="136" t="s">
        <v>371</v>
      </c>
      <c r="C159" s="131"/>
      <c r="D159" s="186"/>
      <c r="E159" s="186"/>
      <c r="F159" s="186"/>
      <c r="G159" s="186"/>
      <c r="H159" s="186"/>
      <c r="I159" s="187">
        <v>22025069000</v>
      </c>
      <c r="J159" s="186">
        <v>25981032843</v>
      </c>
      <c r="K159" s="186">
        <v>20607127000</v>
      </c>
      <c r="L159" s="186">
        <f>25000000000+2500000000</f>
        <v>27500000000</v>
      </c>
      <c r="M159" s="186">
        <f t="shared" ref="M159:O159" si="45">25000000000+2500000000</f>
        <v>27500000000</v>
      </c>
      <c r="N159" s="186">
        <f t="shared" si="45"/>
        <v>27500000000</v>
      </c>
      <c r="O159" s="186">
        <f t="shared" si="45"/>
        <v>27500000000</v>
      </c>
    </row>
    <row r="160" spans="1:15" s="83" customFormat="1" ht="15.75">
      <c r="A160" s="111" t="s">
        <v>372</v>
      </c>
      <c r="B160" s="112" t="s">
        <v>126</v>
      </c>
      <c r="C160" s="112"/>
      <c r="D160" s="113">
        <f t="shared" ref="D160:O160" si="46">SUM(D161)</f>
        <v>421056329000</v>
      </c>
      <c r="E160" s="113">
        <f t="shared" si="46"/>
        <v>430269307000</v>
      </c>
      <c r="F160" s="113">
        <f t="shared" si="46"/>
        <v>438090923000</v>
      </c>
      <c r="G160" s="113">
        <f t="shared" si="46"/>
        <v>482937812000</v>
      </c>
      <c r="H160" s="113">
        <f t="shared" si="46"/>
        <v>584158278000</v>
      </c>
      <c r="I160" s="127">
        <f t="shared" si="46"/>
        <v>651171674000</v>
      </c>
      <c r="J160" s="113">
        <f t="shared" si="46"/>
        <v>651171674000</v>
      </c>
      <c r="K160" s="113">
        <f t="shared" si="46"/>
        <v>708764753000</v>
      </c>
      <c r="L160" s="113">
        <f t="shared" si="46"/>
        <v>765757349999.5481</v>
      </c>
      <c r="M160" s="113">
        <f t="shared" si="46"/>
        <v>827424535000.47302</v>
      </c>
      <c r="N160" s="113">
        <f t="shared" si="46"/>
        <v>897867435000.22534</v>
      </c>
      <c r="O160" s="113">
        <f t="shared" si="46"/>
        <v>969614831692</v>
      </c>
    </row>
    <row r="161" spans="1:15" s="83" customFormat="1" ht="15.75">
      <c r="A161" s="111" t="s">
        <v>373</v>
      </c>
      <c r="B161" s="112" t="s">
        <v>126</v>
      </c>
      <c r="C161" s="112"/>
      <c r="D161" s="113">
        <f t="shared" ref="D161:O161" si="47">D162</f>
        <v>421056329000</v>
      </c>
      <c r="E161" s="113">
        <f t="shared" si="47"/>
        <v>430269307000</v>
      </c>
      <c r="F161" s="113">
        <f t="shared" si="47"/>
        <v>438090923000</v>
      </c>
      <c r="G161" s="113">
        <f t="shared" si="47"/>
        <v>482937812000</v>
      </c>
      <c r="H161" s="113">
        <f t="shared" si="47"/>
        <v>584158278000</v>
      </c>
      <c r="I161" s="127">
        <f t="shared" si="47"/>
        <v>651171674000</v>
      </c>
      <c r="J161" s="113">
        <f t="shared" si="47"/>
        <v>651171674000</v>
      </c>
      <c r="K161" s="113">
        <f t="shared" si="47"/>
        <v>708764753000</v>
      </c>
      <c r="L161" s="113">
        <f t="shared" si="47"/>
        <v>765757349999.5481</v>
      </c>
      <c r="M161" s="113">
        <f t="shared" si="47"/>
        <v>827424535000.47302</v>
      </c>
      <c r="N161" s="113">
        <f t="shared" si="47"/>
        <v>897867435000.22534</v>
      </c>
      <c r="O161" s="113">
        <f t="shared" si="47"/>
        <v>969614831692</v>
      </c>
    </row>
    <row r="162" spans="1:15" s="83" customFormat="1" ht="15">
      <c r="A162" s="145" t="s">
        <v>374</v>
      </c>
      <c r="B162" s="131" t="s">
        <v>126</v>
      </c>
      <c r="C162" s="131"/>
      <c r="D162" s="186">
        <v>421056329000</v>
      </c>
      <c r="E162" s="186">
        <v>430269307000</v>
      </c>
      <c r="F162" s="186">
        <v>438090923000</v>
      </c>
      <c r="G162" s="186">
        <v>482937812000</v>
      </c>
      <c r="H162" s="186">
        <v>584158278000</v>
      </c>
      <c r="I162" s="187">
        <v>651171674000</v>
      </c>
      <c r="J162" s="186">
        <v>651171674000</v>
      </c>
      <c r="K162" s="186">
        <f>+'Pro-Pdpt'!J13</f>
        <v>708764753000</v>
      </c>
      <c r="L162" s="186">
        <f>+'Pro-Pdpt'!M13-136</f>
        <v>765757349999.5481</v>
      </c>
      <c r="M162" s="186">
        <f>+'Pro-Pdpt'!N13+31</f>
        <v>827424535000.47302</v>
      </c>
      <c r="N162" s="186">
        <f>+'Pro-Pdpt'!O13+432</f>
        <v>897867435000.22534</v>
      </c>
      <c r="O162" s="186">
        <f>+'Pro-Pdpt'!P13-308</f>
        <v>969614831692</v>
      </c>
    </row>
    <row r="163" spans="1:15" s="83" customFormat="1" ht="15.75">
      <c r="A163" s="111" t="s">
        <v>375</v>
      </c>
      <c r="B163" s="112" t="s">
        <v>128</v>
      </c>
      <c r="C163" s="112"/>
      <c r="D163" s="113">
        <f t="shared" ref="D163:O164" si="48">SUM(D164)</f>
        <v>48148000000</v>
      </c>
      <c r="E163" s="113">
        <f t="shared" si="48"/>
        <v>51185000000</v>
      </c>
      <c r="F163" s="113">
        <f t="shared" si="48"/>
        <v>46794100000</v>
      </c>
      <c r="G163" s="113">
        <f t="shared" si="48"/>
        <v>57034300000</v>
      </c>
      <c r="H163" s="113">
        <f t="shared" si="48"/>
        <v>87303720000</v>
      </c>
      <c r="I163" s="127">
        <f t="shared" si="48"/>
        <v>46658240000</v>
      </c>
      <c r="J163" s="113">
        <f t="shared" si="48"/>
        <v>41627620000</v>
      </c>
      <c r="K163" s="113">
        <f t="shared" si="48"/>
        <v>56702810000</v>
      </c>
      <c r="L163" s="113">
        <f t="shared" si="48"/>
        <v>100403893700</v>
      </c>
      <c r="M163" s="113">
        <f t="shared" si="48"/>
        <v>102156010871</v>
      </c>
      <c r="N163" s="113">
        <f t="shared" si="48"/>
        <v>109960690537</v>
      </c>
      <c r="O163" s="113">
        <f t="shared" si="48"/>
        <v>111819511793</v>
      </c>
    </row>
    <row r="164" spans="1:15" s="83" customFormat="1" ht="15.75">
      <c r="A164" s="111" t="s">
        <v>376</v>
      </c>
      <c r="B164" s="112" t="s">
        <v>377</v>
      </c>
      <c r="C164" s="112"/>
      <c r="D164" s="113">
        <f t="shared" si="48"/>
        <v>48148000000</v>
      </c>
      <c r="E164" s="113">
        <f t="shared" si="48"/>
        <v>51185000000</v>
      </c>
      <c r="F164" s="113">
        <f t="shared" si="48"/>
        <v>46794100000</v>
      </c>
      <c r="G164" s="113">
        <v>57034300000</v>
      </c>
      <c r="H164" s="113">
        <f t="shared" si="48"/>
        <v>87303720000</v>
      </c>
      <c r="I164" s="127">
        <f t="shared" si="48"/>
        <v>46658240000</v>
      </c>
      <c r="J164" s="113">
        <f t="shared" si="48"/>
        <v>41627620000</v>
      </c>
      <c r="K164" s="113">
        <f t="shared" si="48"/>
        <v>56702810000</v>
      </c>
      <c r="L164" s="113">
        <f t="shared" si="48"/>
        <v>100403893700</v>
      </c>
      <c r="M164" s="113">
        <f t="shared" si="48"/>
        <v>102156010871</v>
      </c>
      <c r="N164" s="113">
        <f t="shared" si="48"/>
        <v>109960690537</v>
      </c>
      <c r="O164" s="113">
        <f t="shared" si="48"/>
        <v>111819511793</v>
      </c>
    </row>
    <row r="165" spans="1:15" s="252" customFormat="1" ht="15">
      <c r="A165" s="157" t="s">
        <v>378</v>
      </c>
      <c r="B165" s="249" t="s">
        <v>379</v>
      </c>
      <c r="C165" s="249"/>
      <c r="D165" s="217">
        <v>48148000000</v>
      </c>
      <c r="E165" s="217">
        <v>51185000000</v>
      </c>
      <c r="F165" s="217">
        <v>46794100000</v>
      </c>
      <c r="G165" s="217">
        <v>57034300000</v>
      </c>
      <c r="H165" s="217">
        <v>87303720000</v>
      </c>
      <c r="I165" s="228">
        <v>46658240000</v>
      </c>
      <c r="J165" s="217">
        <v>41627620000</v>
      </c>
      <c r="K165" s="217">
        <f>+'Pro-Pdpt'!J14</f>
        <v>56702810000</v>
      </c>
      <c r="L165" s="217">
        <f>+'Pro-Pdpt'!M14-300+12000000000+9000000000</f>
        <v>100403893700</v>
      </c>
      <c r="M165" s="217">
        <f>+'Pro-Pdpt'!N14-129+12000000000+9000000000</f>
        <v>102156010871</v>
      </c>
      <c r="N165" s="217">
        <f>+'Pro-Pdpt'!O14-463+12000000000+9000000000+3000000000</f>
        <v>109960690537</v>
      </c>
      <c r="O165" s="217">
        <f>+'Pro-Pdpt'!P14-207+12000000000+9000000000+3000000000</f>
        <v>111819511793</v>
      </c>
    </row>
    <row r="166" spans="1:15" s="83" customFormat="1" ht="15">
      <c r="A166" s="145"/>
      <c r="B166" s="136" t="s">
        <v>380</v>
      </c>
      <c r="C166" s="136"/>
      <c r="D166" s="217"/>
      <c r="E166" s="217"/>
      <c r="F166" s="217"/>
      <c r="G166" s="217"/>
      <c r="H166" s="217"/>
      <c r="I166" s="228"/>
      <c r="J166" s="217"/>
      <c r="K166" s="217">
        <v>3000000000</v>
      </c>
      <c r="L166" s="217">
        <v>3000000000</v>
      </c>
      <c r="M166" s="217">
        <v>3000000000</v>
      </c>
      <c r="N166" s="217">
        <v>3000000000</v>
      </c>
      <c r="O166" s="217">
        <v>3000000000</v>
      </c>
    </row>
    <row r="167" spans="1:15" ht="31.5">
      <c r="A167" s="111" t="s">
        <v>381</v>
      </c>
      <c r="B167" s="112" t="s">
        <v>382</v>
      </c>
      <c r="C167" s="112"/>
      <c r="D167" s="113">
        <f t="shared" ref="D167:K167" si="49">SUM(D168+D171+D184+D187)</f>
        <v>41126737321</v>
      </c>
      <c r="E167" s="113">
        <f t="shared" si="49"/>
        <v>60566570314</v>
      </c>
      <c r="F167" s="113">
        <f t="shared" si="49"/>
        <v>98262823592</v>
      </c>
      <c r="G167" s="113">
        <f t="shared" si="49"/>
        <v>185219076427</v>
      </c>
      <c r="H167" s="113">
        <f t="shared" si="49"/>
        <v>181061739558</v>
      </c>
      <c r="I167" s="127">
        <f t="shared" ref="I167" si="50">SUM(I168+I171+I184+I187)</f>
        <v>197532452000</v>
      </c>
      <c r="J167" s="114">
        <f t="shared" si="49"/>
        <v>208737213875</v>
      </c>
      <c r="K167" s="113">
        <f t="shared" si="49"/>
        <v>220272650000</v>
      </c>
      <c r="L167" s="113">
        <f t="shared" ref="L167:O167" si="51">SUM(L168+L171+L184+L187)</f>
        <v>224185300000</v>
      </c>
      <c r="M167" s="113">
        <f t="shared" si="51"/>
        <v>224754389000</v>
      </c>
      <c r="N167" s="113">
        <f t="shared" si="51"/>
        <v>225972166000</v>
      </c>
      <c r="O167" s="113">
        <f t="shared" si="51"/>
        <v>227223617000</v>
      </c>
    </row>
    <row r="168" spans="1:15" ht="15.75">
      <c r="A168" s="111" t="s">
        <v>383</v>
      </c>
      <c r="B168" s="205" t="s">
        <v>132</v>
      </c>
      <c r="C168" s="205"/>
      <c r="D168" s="113">
        <f t="shared" ref="D168:O168" si="52">SUM(D169+D170)</f>
        <v>486231000</v>
      </c>
      <c r="E168" s="113">
        <f t="shared" si="52"/>
        <v>3450101848</v>
      </c>
      <c r="F168" s="113">
        <f t="shared" si="52"/>
        <v>2807704666</v>
      </c>
      <c r="G168" s="113">
        <f t="shared" si="52"/>
        <v>696060800</v>
      </c>
      <c r="H168" s="113">
        <f t="shared" si="52"/>
        <v>145820000</v>
      </c>
      <c r="I168" s="127">
        <f t="shared" si="52"/>
        <v>1051910000</v>
      </c>
      <c r="J168" s="114">
        <f t="shared" si="52"/>
        <v>428077240</v>
      </c>
      <c r="K168" s="113">
        <f t="shared" si="52"/>
        <v>616150000</v>
      </c>
      <c r="L168" s="113">
        <f t="shared" si="52"/>
        <v>616150000</v>
      </c>
      <c r="M168" s="113">
        <f t="shared" si="52"/>
        <v>0</v>
      </c>
      <c r="N168" s="113">
        <f t="shared" si="52"/>
        <v>0</v>
      </c>
      <c r="O168" s="113">
        <f t="shared" si="52"/>
        <v>0</v>
      </c>
    </row>
    <row r="169" spans="1:15" ht="15">
      <c r="A169" s="145" t="s">
        <v>384</v>
      </c>
      <c r="B169" s="253" t="s">
        <v>385</v>
      </c>
      <c r="C169" s="253"/>
      <c r="D169" s="217"/>
      <c r="E169" s="217">
        <v>0</v>
      </c>
      <c r="F169" s="217"/>
      <c r="G169" s="217">
        <v>696060800</v>
      </c>
      <c r="H169" s="217">
        <v>145820000</v>
      </c>
      <c r="I169" s="228">
        <v>1051910000</v>
      </c>
      <c r="J169" s="229">
        <v>428077240</v>
      </c>
      <c r="K169" s="217">
        <v>616150000</v>
      </c>
      <c r="L169" s="217">
        <v>616150000</v>
      </c>
      <c r="M169" s="217">
        <v>0</v>
      </c>
      <c r="N169" s="217">
        <v>0</v>
      </c>
      <c r="O169" s="217">
        <v>0</v>
      </c>
    </row>
    <row r="170" spans="1:15" ht="15.75">
      <c r="A170" s="199">
        <v>4310301</v>
      </c>
      <c r="B170" s="205" t="s">
        <v>386</v>
      </c>
      <c r="C170" s="205"/>
      <c r="D170" s="113">
        <v>486231000</v>
      </c>
      <c r="E170" s="113">
        <v>3450101848</v>
      </c>
      <c r="F170" s="113">
        <v>2807704666</v>
      </c>
      <c r="G170" s="113"/>
      <c r="H170" s="113"/>
      <c r="I170" s="127"/>
      <c r="J170" s="114"/>
      <c r="K170" s="113"/>
      <c r="L170" s="113"/>
      <c r="M170" s="113"/>
      <c r="N170" s="113"/>
      <c r="O170" s="113"/>
    </row>
    <row r="171" spans="1:15" ht="31.5">
      <c r="A171" s="225" t="s">
        <v>387</v>
      </c>
      <c r="B171" s="176" t="s">
        <v>388</v>
      </c>
      <c r="C171" s="176"/>
      <c r="D171" s="254">
        <f t="shared" ref="D171:O171" si="53">SUM(D172)</f>
        <v>20870379396</v>
      </c>
      <c r="E171" s="254">
        <f t="shared" si="53"/>
        <v>33186737016</v>
      </c>
      <c r="F171" s="254">
        <f t="shared" si="53"/>
        <v>37428136126</v>
      </c>
      <c r="G171" s="254">
        <f t="shared" si="53"/>
        <v>43614720307</v>
      </c>
      <c r="H171" s="254">
        <f t="shared" si="53"/>
        <v>60284458558</v>
      </c>
      <c r="I171" s="255">
        <f t="shared" si="53"/>
        <v>31916581000</v>
      </c>
      <c r="J171" s="256">
        <f t="shared" si="53"/>
        <v>43818851635</v>
      </c>
      <c r="K171" s="254">
        <f t="shared" si="53"/>
        <v>43662000000</v>
      </c>
      <c r="L171" s="254">
        <f t="shared" si="53"/>
        <v>44815750000</v>
      </c>
      <c r="M171" s="254">
        <f t="shared" si="53"/>
        <v>46000988999.999992</v>
      </c>
      <c r="N171" s="254">
        <f t="shared" si="53"/>
        <v>47218765999.999985</v>
      </c>
      <c r="O171" s="254">
        <f t="shared" si="53"/>
        <v>48470216999.999985</v>
      </c>
    </row>
    <row r="172" spans="1:15" s="83" customFormat="1" ht="31.5">
      <c r="A172" s="111" t="s">
        <v>389</v>
      </c>
      <c r="B172" s="176" t="s">
        <v>390</v>
      </c>
      <c r="C172" s="176"/>
      <c r="D172" s="113">
        <f t="shared" ref="D172:K172" si="54">SUM(D173:D183)</f>
        <v>20870379396</v>
      </c>
      <c r="E172" s="113">
        <f t="shared" si="54"/>
        <v>33186737016</v>
      </c>
      <c r="F172" s="113">
        <f t="shared" si="54"/>
        <v>37428136126</v>
      </c>
      <c r="G172" s="113">
        <f t="shared" si="54"/>
        <v>43614720307</v>
      </c>
      <c r="H172" s="113">
        <f t="shared" si="54"/>
        <v>60284458558</v>
      </c>
      <c r="I172" s="127">
        <f t="shared" ref="I172" si="55">SUM(I173:I183)</f>
        <v>31916581000</v>
      </c>
      <c r="J172" s="113">
        <f t="shared" si="54"/>
        <v>43818851635</v>
      </c>
      <c r="K172" s="113">
        <f t="shared" si="54"/>
        <v>43662000000</v>
      </c>
      <c r="L172" s="113">
        <f t="shared" ref="L172:O172" si="56">SUM(L173:L183)</f>
        <v>44815750000</v>
      </c>
      <c r="M172" s="113">
        <f t="shared" si="56"/>
        <v>46000988999.999992</v>
      </c>
      <c r="N172" s="113">
        <f t="shared" si="56"/>
        <v>47218765999.999985</v>
      </c>
      <c r="O172" s="113">
        <f t="shared" si="56"/>
        <v>48470216999.999985</v>
      </c>
    </row>
    <row r="173" spans="1:15" s="83" customFormat="1" ht="30">
      <c r="A173" s="145" t="s">
        <v>391</v>
      </c>
      <c r="B173" s="131" t="s">
        <v>392</v>
      </c>
      <c r="C173" s="131"/>
      <c r="D173" s="186">
        <v>5129086408</v>
      </c>
      <c r="E173" s="186">
        <v>6240715858</v>
      </c>
      <c r="F173" s="186">
        <v>6276921708</v>
      </c>
      <c r="G173" s="186">
        <v>8497256247</v>
      </c>
      <c r="H173" s="186">
        <v>11281123449</v>
      </c>
      <c r="I173" s="187">
        <v>9603125000</v>
      </c>
      <c r="J173" s="186">
        <v>12097611571</v>
      </c>
      <c r="K173" s="186">
        <v>12000000000</v>
      </c>
      <c r="L173" s="246">
        <f>+K173*1.03</f>
        <v>12360000000</v>
      </c>
      <c r="M173" s="246">
        <f>+L173*1.03</f>
        <v>12730800000</v>
      </c>
      <c r="N173" s="246">
        <f>+M173*1.03</f>
        <v>13112724000</v>
      </c>
      <c r="O173" s="246">
        <f>+N173*1.03+280</f>
        <v>13506106000</v>
      </c>
    </row>
    <row r="174" spans="1:15" s="83" customFormat="1" ht="30">
      <c r="A174" s="145" t="s">
        <v>393</v>
      </c>
      <c r="B174" s="131" t="s">
        <v>394</v>
      </c>
      <c r="C174" s="131"/>
      <c r="D174" s="217">
        <v>5195825999</v>
      </c>
      <c r="E174" s="217">
        <v>5436698060</v>
      </c>
      <c r="F174" s="217">
        <v>5876611339</v>
      </c>
      <c r="G174" s="217">
        <v>9167241174</v>
      </c>
      <c r="H174" s="217">
        <v>15509837256</v>
      </c>
      <c r="I174" s="228">
        <v>11105892000</v>
      </c>
      <c r="J174" s="217">
        <v>15701347234</v>
      </c>
      <c r="K174" s="217">
        <v>15700000000</v>
      </c>
      <c r="L174" s="250">
        <f t="shared" ref="L174:L175" si="57">+K174*1.025</f>
        <v>16092499999.999998</v>
      </c>
      <c r="M174" s="250">
        <f>+L174*1.025+500</f>
        <v>16494812999.999996</v>
      </c>
      <c r="N174" s="250">
        <f>+M174*1.025-325</f>
        <v>16907182999.999994</v>
      </c>
      <c r="O174" s="250">
        <f>+N174*1.025+425</f>
        <v>17329862999.999992</v>
      </c>
    </row>
    <row r="175" spans="1:15" s="83" customFormat="1" ht="30">
      <c r="A175" s="145" t="s">
        <v>395</v>
      </c>
      <c r="B175" s="131" t="s">
        <v>396</v>
      </c>
      <c r="C175" s="131"/>
      <c r="D175" s="217">
        <v>9333659998</v>
      </c>
      <c r="E175" s="217">
        <v>11002307798</v>
      </c>
      <c r="F175" s="217">
        <v>9866711464</v>
      </c>
      <c r="G175" s="217">
        <v>12016032442</v>
      </c>
      <c r="H175" s="217">
        <v>14346662122</v>
      </c>
      <c r="I175" s="228">
        <v>11067422000</v>
      </c>
      <c r="J175" s="217">
        <v>15962089134</v>
      </c>
      <c r="K175" s="217">
        <v>15900000000</v>
      </c>
      <c r="L175" s="250">
        <f t="shared" si="57"/>
        <v>16297499999.999998</v>
      </c>
      <c r="M175" s="250">
        <f>+L175*1.025+500</f>
        <v>16704937999.999996</v>
      </c>
      <c r="N175" s="250">
        <f>+M175*1.025-450</f>
        <v>17122560999.999994</v>
      </c>
      <c r="O175" s="250">
        <f>+N175*1.025-25</f>
        <v>17550624999.999992</v>
      </c>
    </row>
    <row r="176" spans="1:15" s="83" customFormat="1" ht="15">
      <c r="A176" s="145"/>
      <c r="B176" s="136" t="s">
        <v>397</v>
      </c>
      <c r="C176" s="131"/>
      <c r="D176" s="217">
        <v>103323949</v>
      </c>
      <c r="E176" s="217">
        <v>114584158</v>
      </c>
      <c r="F176" s="217">
        <v>105433266</v>
      </c>
      <c r="G176" s="217">
        <v>31701364</v>
      </c>
      <c r="H176" s="217">
        <v>0</v>
      </c>
      <c r="I176" s="228">
        <v>0</v>
      </c>
      <c r="J176" s="217">
        <v>0</v>
      </c>
      <c r="K176" s="217"/>
      <c r="L176" s="217"/>
      <c r="M176" s="217"/>
      <c r="N176" s="217"/>
      <c r="O176" s="217"/>
    </row>
    <row r="177" spans="1:15" s="83" customFormat="1" ht="30">
      <c r="A177" s="248" t="s">
        <v>398</v>
      </c>
      <c r="B177" s="249" t="s">
        <v>399</v>
      </c>
      <c r="C177" s="249"/>
      <c r="D177" s="217">
        <v>15900405</v>
      </c>
      <c r="E177" s="217">
        <v>19090340</v>
      </c>
      <c r="F177" s="217">
        <v>18250851</v>
      </c>
      <c r="G177" s="186">
        <v>16060640</v>
      </c>
      <c r="H177" s="217">
        <v>24298734</v>
      </c>
      <c r="I177" s="228">
        <v>20860000</v>
      </c>
      <c r="J177" s="217">
        <v>26671660</v>
      </c>
      <c r="K177" s="217">
        <v>25000000</v>
      </c>
      <c r="L177" s="217">
        <v>25000000</v>
      </c>
      <c r="M177" s="217">
        <v>25000000</v>
      </c>
      <c r="N177" s="217">
        <v>25000000</v>
      </c>
      <c r="O177" s="217">
        <v>25000000</v>
      </c>
    </row>
    <row r="178" spans="1:15" s="247" customFormat="1" ht="15">
      <c r="A178" s="145" t="s">
        <v>400</v>
      </c>
      <c r="B178" s="131" t="s">
        <v>401</v>
      </c>
      <c r="C178" s="131"/>
      <c r="D178" s="186">
        <v>10575733</v>
      </c>
      <c r="E178" s="186">
        <v>12180604</v>
      </c>
      <c r="F178" s="186">
        <v>19573269</v>
      </c>
      <c r="G178" s="186">
        <v>29255770</v>
      </c>
      <c r="H178" s="186">
        <v>21305303</v>
      </c>
      <c r="I178" s="187">
        <v>22076000</v>
      </c>
      <c r="J178" s="186">
        <v>16315036</v>
      </c>
      <c r="K178" s="186">
        <v>22000000</v>
      </c>
      <c r="L178" s="186">
        <v>22000000</v>
      </c>
      <c r="M178" s="186">
        <v>22000000</v>
      </c>
      <c r="N178" s="186">
        <v>22000000</v>
      </c>
      <c r="O178" s="186">
        <v>22000000</v>
      </c>
    </row>
    <row r="179" spans="1:15" s="247" customFormat="1" ht="30">
      <c r="A179" s="145" t="s">
        <v>402</v>
      </c>
      <c r="B179" s="136" t="s">
        <v>403</v>
      </c>
      <c r="C179" s="136"/>
      <c r="D179" s="186">
        <v>254596462</v>
      </c>
      <c r="E179" s="186">
        <v>325244444</v>
      </c>
      <c r="F179" s="186">
        <v>316092581</v>
      </c>
      <c r="G179" s="186">
        <v>28887103</v>
      </c>
      <c r="H179" s="186">
        <v>0</v>
      </c>
      <c r="I179" s="187"/>
      <c r="J179" s="186"/>
      <c r="K179" s="186"/>
      <c r="L179" s="186"/>
      <c r="M179" s="186"/>
      <c r="N179" s="186"/>
      <c r="O179" s="186"/>
    </row>
    <row r="180" spans="1:15" s="247" customFormat="1" ht="15">
      <c r="A180" s="145"/>
      <c r="B180" s="136" t="s">
        <v>404</v>
      </c>
      <c r="C180" s="136"/>
      <c r="D180" s="186"/>
      <c r="E180" s="186">
        <v>300431</v>
      </c>
      <c r="F180" s="186"/>
      <c r="G180" s="186"/>
      <c r="H180" s="186">
        <v>0</v>
      </c>
      <c r="I180" s="187"/>
      <c r="J180" s="186"/>
      <c r="K180" s="186"/>
      <c r="L180" s="186"/>
      <c r="M180" s="186"/>
      <c r="N180" s="186"/>
      <c r="O180" s="186"/>
    </row>
    <row r="181" spans="1:15" s="83" customFormat="1" ht="30">
      <c r="A181" s="145" t="s">
        <v>405</v>
      </c>
      <c r="B181" s="136" t="s">
        <v>406</v>
      </c>
      <c r="C181" s="136"/>
      <c r="D181" s="186">
        <v>41953820</v>
      </c>
      <c r="E181" s="186">
        <v>41064847</v>
      </c>
      <c r="F181" s="186">
        <v>53948837</v>
      </c>
      <c r="G181" s="186">
        <v>62510106</v>
      </c>
      <c r="H181" s="186">
        <v>50668014</v>
      </c>
      <c r="I181" s="187">
        <v>97206000</v>
      </c>
      <c r="J181" s="186">
        <v>14817000</v>
      </c>
      <c r="K181" s="186">
        <v>15000000</v>
      </c>
      <c r="L181" s="246">
        <f>+K181*1.25</f>
        <v>18750000</v>
      </c>
      <c r="M181" s="246">
        <f>+L181*1.25+500</f>
        <v>23438000</v>
      </c>
      <c r="N181" s="246">
        <f>+M181*1.25+500</f>
        <v>29298000</v>
      </c>
      <c r="O181" s="246">
        <f>+N181*1.25+500</f>
        <v>36623000</v>
      </c>
    </row>
    <row r="182" spans="1:15" s="83" customFormat="1" ht="15">
      <c r="A182" s="145" t="s">
        <v>407</v>
      </c>
      <c r="B182" s="136" t="s">
        <v>408</v>
      </c>
      <c r="C182" s="136"/>
      <c r="D182" s="186">
        <v>785456622</v>
      </c>
      <c r="E182" s="186">
        <v>9994550476</v>
      </c>
      <c r="F182" s="186">
        <v>14894592811</v>
      </c>
      <c r="G182" s="186">
        <v>13765366902</v>
      </c>
      <c r="H182" s="186">
        <v>19050563680</v>
      </c>
      <c r="I182" s="187">
        <v>0</v>
      </c>
      <c r="J182" s="186">
        <v>0</v>
      </c>
      <c r="K182" s="186">
        <v>0</v>
      </c>
      <c r="L182" s="186">
        <v>0</v>
      </c>
      <c r="M182" s="186">
        <v>0</v>
      </c>
      <c r="N182" s="186">
        <v>0</v>
      </c>
      <c r="O182" s="186">
        <v>0</v>
      </c>
    </row>
    <row r="183" spans="1:15" s="83" customFormat="1" ht="30">
      <c r="A183" s="145" t="s">
        <v>409</v>
      </c>
      <c r="B183" s="136" t="s">
        <v>410</v>
      </c>
      <c r="C183" s="136"/>
      <c r="D183" s="186"/>
      <c r="E183" s="186"/>
      <c r="F183" s="186"/>
      <c r="G183" s="186">
        <v>408559</v>
      </c>
      <c r="H183" s="186">
        <v>0</v>
      </c>
      <c r="I183" s="187"/>
      <c r="J183" s="186"/>
      <c r="K183" s="186"/>
      <c r="L183" s="186"/>
      <c r="M183" s="186"/>
      <c r="N183" s="186"/>
      <c r="O183" s="186"/>
    </row>
    <row r="184" spans="1:15" s="83" customFormat="1" ht="31.5">
      <c r="A184" s="111" t="s">
        <v>411</v>
      </c>
      <c r="B184" s="112" t="s">
        <v>136</v>
      </c>
      <c r="C184" s="112"/>
      <c r="D184" s="113">
        <f t="shared" ref="D184:O185" si="58">SUM(D185)</f>
        <v>6026638800</v>
      </c>
      <c r="E184" s="113">
        <f t="shared" si="58"/>
        <v>12207750000</v>
      </c>
      <c r="F184" s="113">
        <f t="shared" si="58"/>
        <v>42742778800</v>
      </c>
      <c r="G184" s="113">
        <f t="shared" si="58"/>
        <v>122342105320</v>
      </c>
      <c r="H184" s="113">
        <f t="shared" si="58"/>
        <v>99581821000</v>
      </c>
      <c r="I184" s="127">
        <f t="shared" si="58"/>
        <v>136253400000</v>
      </c>
      <c r="J184" s="113">
        <f t="shared" si="58"/>
        <v>136253400000</v>
      </c>
      <c r="K184" s="113">
        <f t="shared" si="58"/>
        <v>136253400000</v>
      </c>
      <c r="L184" s="113">
        <f t="shared" si="58"/>
        <v>136253400000</v>
      </c>
      <c r="M184" s="113">
        <f t="shared" si="58"/>
        <v>136253400000</v>
      </c>
      <c r="N184" s="113">
        <f t="shared" si="58"/>
        <v>136253400000</v>
      </c>
      <c r="O184" s="113">
        <f t="shared" si="58"/>
        <v>136253400000</v>
      </c>
    </row>
    <row r="185" spans="1:15" s="83" customFormat="1" ht="15.75">
      <c r="A185" s="111" t="s">
        <v>412</v>
      </c>
      <c r="B185" s="112" t="s">
        <v>413</v>
      </c>
      <c r="C185" s="112"/>
      <c r="D185" s="113">
        <f t="shared" si="58"/>
        <v>6026638800</v>
      </c>
      <c r="E185" s="113">
        <f t="shared" si="58"/>
        <v>12207750000</v>
      </c>
      <c r="F185" s="113">
        <f t="shared" si="58"/>
        <v>42742778800</v>
      </c>
      <c r="G185" s="113">
        <f t="shared" si="58"/>
        <v>122342105320</v>
      </c>
      <c r="H185" s="113">
        <f t="shared" si="58"/>
        <v>99581821000</v>
      </c>
      <c r="I185" s="127">
        <f t="shared" si="58"/>
        <v>136253400000</v>
      </c>
      <c r="J185" s="113">
        <f t="shared" si="58"/>
        <v>136253400000</v>
      </c>
      <c r="K185" s="113">
        <f t="shared" si="58"/>
        <v>136253400000</v>
      </c>
      <c r="L185" s="113">
        <f t="shared" si="58"/>
        <v>136253400000</v>
      </c>
      <c r="M185" s="113">
        <f t="shared" si="58"/>
        <v>136253400000</v>
      </c>
      <c r="N185" s="113">
        <f t="shared" si="58"/>
        <v>136253400000</v>
      </c>
      <c r="O185" s="113">
        <f t="shared" si="58"/>
        <v>136253400000</v>
      </c>
    </row>
    <row r="186" spans="1:15" s="83" customFormat="1" ht="15">
      <c r="A186" s="145" t="s">
        <v>414</v>
      </c>
      <c r="B186" s="232" t="s">
        <v>415</v>
      </c>
      <c r="C186" s="232"/>
      <c r="D186" s="235">
        <v>6026638800</v>
      </c>
      <c r="E186" s="235">
        <v>12207750000</v>
      </c>
      <c r="F186" s="235">
        <v>42742778800</v>
      </c>
      <c r="G186" s="235">
        <v>122342105320</v>
      </c>
      <c r="H186" s="235">
        <v>99581821000</v>
      </c>
      <c r="I186" s="236">
        <v>136253400000</v>
      </c>
      <c r="J186" s="235">
        <v>136253400000</v>
      </c>
      <c r="K186" s="235">
        <v>136253400000</v>
      </c>
      <c r="L186" s="235">
        <v>136253400000</v>
      </c>
      <c r="M186" s="235">
        <v>136253400000</v>
      </c>
      <c r="N186" s="235">
        <v>136253400000</v>
      </c>
      <c r="O186" s="235">
        <v>136253400000</v>
      </c>
    </row>
    <row r="187" spans="1:15" s="83" customFormat="1" ht="31.5">
      <c r="A187" s="225" t="s">
        <v>416</v>
      </c>
      <c r="B187" s="176" t="s">
        <v>417</v>
      </c>
      <c r="C187" s="176"/>
      <c r="D187" s="254">
        <f t="shared" ref="D187:O188" si="59">SUM(D188)</f>
        <v>13743488125</v>
      </c>
      <c r="E187" s="254">
        <f t="shared" si="59"/>
        <v>11721981450</v>
      </c>
      <c r="F187" s="254">
        <f t="shared" si="59"/>
        <v>15284204000</v>
      </c>
      <c r="G187" s="254">
        <f t="shared" si="59"/>
        <v>18566190000</v>
      </c>
      <c r="H187" s="254">
        <f t="shared" si="59"/>
        <v>21049640000</v>
      </c>
      <c r="I187" s="255">
        <f t="shared" si="59"/>
        <v>28310561000</v>
      </c>
      <c r="J187" s="254">
        <f t="shared" si="59"/>
        <v>28236885000</v>
      </c>
      <c r="K187" s="254">
        <f t="shared" si="59"/>
        <v>39741100000</v>
      </c>
      <c r="L187" s="254">
        <f t="shared" si="59"/>
        <v>42500000000</v>
      </c>
      <c r="M187" s="254">
        <f t="shared" si="59"/>
        <v>42500000000</v>
      </c>
      <c r="N187" s="254">
        <f t="shared" si="59"/>
        <v>42500000000</v>
      </c>
      <c r="O187" s="254">
        <f t="shared" si="59"/>
        <v>42500000000</v>
      </c>
    </row>
    <row r="188" spans="1:15" s="83" customFormat="1" ht="15.75">
      <c r="A188" s="111" t="s">
        <v>418</v>
      </c>
      <c r="B188" s="112" t="s">
        <v>419</v>
      </c>
      <c r="C188" s="112"/>
      <c r="D188" s="113">
        <f t="shared" si="59"/>
        <v>13743488125</v>
      </c>
      <c r="E188" s="113">
        <f t="shared" si="59"/>
        <v>11721981450</v>
      </c>
      <c r="F188" s="113">
        <f t="shared" si="59"/>
        <v>15284204000</v>
      </c>
      <c r="G188" s="113">
        <f t="shared" si="59"/>
        <v>18566190000</v>
      </c>
      <c r="H188" s="113">
        <f t="shared" si="59"/>
        <v>21049640000</v>
      </c>
      <c r="I188" s="127">
        <f t="shared" si="59"/>
        <v>28310561000</v>
      </c>
      <c r="J188" s="113">
        <f t="shared" si="59"/>
        <v>28236885000</v>
      </c>
      <c r="K188" s="113">
        <f>SUM(K189)</f>
        <v>39741100000</v>
      </c>
      <c r="L188" s="113">
        <f t="shared" si="59"/>
        <v>42500000000</v>
      </c>
      <c r="M188" s="113">
        <f t="shared" si="59"/>
        <v>42500000000</v>
      </c>
      <c r="N188" s="113">
        <f t="shared" si="59"/>
        <v>42500000000</v>
      </c>
      <c r="O188" s="113">
        <f t="shared" si="59"/>
        <v>42500000000</v>
      </c>
    </row>
    <row r="189" spans="1:15" s="83" customFormat="1" ht="15">
      <c r="A189" s="145" t="s">
        <v>420</v>
      </c>
      <c r="B189" s="131" t="s">
        <v>421</v>
      </c>
      <c r="C189" s="131"/>
      <c r="D189" s="186">
        <v>13743488125</v>
      </c>
      <c r="E189" s="186">
        <v>11721981450</v>
      </c>
      <c r="F189" s="235">
        <v>15284204000</v>
      </c>
      <c r="G189" s="186">
        <v>18566190000</v>
      </c>
      <c r="H189" s="186">
        <v>21049640000</v>
      </c>
      <c r="I189" s="187">
        <v>28310561000</v>
      </c>
      <c r="J189" s="186">
        <v>28236885000</v>
      </c>
      <c r="K189" s="186">
        <v>39741100000</v>
      </c>
      <c r="L189" s="186">
        <f>39000000000+3500000000</f>
        <v>42500000000</v>
      </c>
      <c r="M189" s="186">
        <f>+L189</f>
        <v>42500000000</v>
      </c>
      <c r="N189" s="186">
        <f>+M189</f>
        <v>42500000000</v>
      </c>
      <c r="O189" s="186">
        <f>+N189</f>
        <v>42500000000</v>
      </c>
    </row>
    <row r="190" spans="1:15" s="83" customFormat="1" ht="15">
      <c r="A190" s="257"/>
      <c r="B190" s="258"/>
      <c r="C190" s="258"/>
      <c r="D190" s="259"/>
      <c r="E190" s="259"/>
      <c r="F190" s="259"/>
      <c r="G190" s="259"/>
      <c r="H190" s="259"/>
      <c r="I190" s="260"/>
      <c r="J190" s="259"/>
      <c r="K190" s="259"/>
      <c r="L190" s="259"/>
      <c r="M190" s="259"/>
      <c r="N190" s="259"/>
      <c r="O190" s="259"/>
    </row>
    <row r="191" spans="1:15" s="83" customFormat="1" ht="15.75">
      <c r="A191" s="113"/>
      <c r="B191" s="261" t="s">
        <v>422</v>
      </c>
      <c r="C191" s="113" t="e">
        <f t="shared" ref="C191:O191" si="60">SUM(C12+C147+C167)</f>
        <v>#REF!</v>
      </c>
      <c r="D191" s="113">
        <f t="shared" si="60"/>
        <v>576614217128</v>
      </c>
      <c r="E191" s="113">
        <f t="shared" si="60"/>
        <v>623122779590</v>
      </c>
      <c r="F191" s="113">
        <f t="shared" si="60"/>
        <v>675659734845</v>
      </c>
      <c r="G191" s="113">
        <f t="shared" si="60"/>
        <v>823479890034</v>
      </c>
      <c r="H191" s="113">
        <f t="shared" si="60"/>
        <v>966815573681</v>
      </c>
      <c r="I191" s="127">
        <f t="shared" si="60"/>
        <v>1039172438000</v>
      </c>
      <c r="J191" s="113">
        <f t="shared" si="60"/>
        <v>1049311615255</v>
      </c>
      <c r="K191" s="113">
        <f t="shared" si="60"/>
        <v>1136305222000.3025</v>
      </c>
      <c r="L191" s="113">
        <f t="shared" si="60"/>
        <v>1269007530699.5481</v>
      </c>
      <c r="M191" s="113">
        <f t="shared" si="60"/>
        <v>1338992594871.4731</v>
      </c>
      <c r="N191" s="113">
        <f t="shared" si="60"/>
        <v>1407602905537.2253</v>
      </c>
      <c r="O191" s="113">
        <f t="shared" si="60"/>
        <v>1488813081736</v>
      </c>
    </row>
    <row r="192" spans="1:15" s="83" customFormat="1" ht="15.75" thickBot="1">
      <c r="A192" s="262"/>
      <c r="B192" s="262"/>
      <c r="C192" s="262"/>
      <c r="D192" s="262"/>
      <c r="E192" s="262"/>
      <c r="F192" s="262"/>
      <c r="G192" s="262"/>
      <c r="H192" s="262"/>
      <c r="I192" s="263"/>
      <c r="J192" s="262"/>
      <c r="K192" s="262"/>
      <c r="L192" s="262"/>
      <c r="M192" s="262"/>
      <c r="N192" s="262"/>
      <c r="O192" s="262"/>
    </row>
    <row r="193" spans="1:15" s="83" customFormat="1">
      <c r="I193" s="84"/>
    </row>
    <row r="194" spans="1:15" s="83" customFormat="1">
      <c r="I194" s="84"/>
      <c r="L194" s="264">
        <v>-27606079999.7854</v>
      </c>
      <c r="M194" s="264">
        <v>-27869673999.526855</v>
      </c>
      <c r="N194" s="264">
        <v>-28748877000.279785</v>
      </c>
      <c r="O194" s="264">
        <v>-28825933749.845215</v>
      </c>
    </row>
    <row r="195" spans="1:15" s="83" customFormat="1">
      <c r="I195" s="84"/>
    </row>
    <row r="198" spans="1:15">
      <c r="A198" s="115"/>
      <c r="B198" s="115"/>
      <c r="C198" s="115"/>
      <c r="D198" s="115"/>
      <c r="E198" s="115"/>
      <c r="F198" s="115"/>
      <c r="G198" s="115"/>
      <c r="H198" s="265"/>
      <c r="I198" s="266"/>
      <c r="J198" s="267"/>
      <c r="K198" s="265"/>
      <c r="L198" s="265"/>
      <c r="M198" s="265"/>
      <c r="N198" s="265"/>
      <c r="O198" s="265"/>
    </row>
    <row r="199" spans="1:15">
      <c r="A199" s="115"/>
      <c r="B199" s="115"/>
      <c r="C199" s="115"/>
      <c r="D199" s="115"/>
      <c r="E199" s="115"/>
      <c r="F199" s="115"/>
      <c r="G199" s="115"/>
      <c r="H199" s="265"/>
      <c r="I199" s="266"/>
      <c r="J199" s="267"/>
      <c r="K199" s="265"/>
      <c r="L199" s="265"/>
      <c r="M199" s="265"/>
      <c r="N199" s="265"/>
      <c r="O199" s="265"/>
    </row>
    <row r="201" spans="1:15">
      <c r="A201" s="268"/>
      <c r="B201" s="268"/>
      <c r="C201" s="268"/>
      <c r="D201" s="268"/>
      <c r="E201" s="268"/>
      <c r="F201" s="268"/>
      <c r="G201" s="268"/>
      <c r="H201" s="269"/>
      <c r="I201" s="270"/>
      <c r="J201" s="271"/>
      <c r="K201" s="269"/>
      <c r="L201" s="269"/>
      <c r="M201" s="269"/>
      <c r="N201" s="269"/>
      <c r="O201" s="269"/>
    </row>
    <row r="202" spans="1:15">
      <c r="A202" s="272"/>
      <c r="B202" s="272"/>
      <c r="C202" s="272"/>
      <c r="D202" s="272"/>
      <c r="E202" s="272"/>
      <c r="F202" s="272"/>
      <c r="G202" s="272"/>
      <c r="H202" s="273"/>
      <c r="I202" s="274"/>
      <c r="J202" s="275"/>
      <c r="K202" s="273"/>
      <c r="L202" s="273"/>
      <c r="M202" s="273"/>
      <c r="N202" s="273"/>
      <c r="O202" s="273"/>
    </row>
    <row r="203" spans="1:15">
      <c r="A203" s="272"/>
      <c r="B203" s="272"/>
      <c r="C203" s="272"/>
      <c r="D203" s="272"/>
      <c r="E203" s="272"/>
      <c r="F203" s="272"/>
      <c r="G203" s="272"/>
      <c r="H203" s="273"/>
      <c r="I203" s="274"/>
      <c r="J203" s="275"/>
      <c r="K203" s="273"/>
      <c r="L203" s="273"/>
      <c r="M203" s="273"/>
      <c r="N203" s="273"/>
      <c r="O203" s="273"/>
    </row>
    <row r="204" spans="1:15">
      <c r="A204" s="268"/>
      <c r="B204" s="268"/>
      <c r="C204" s="268"/>
      <c r="D204" s="268"/>
      <c r="E204" s="268"/>
      <c r="F204" s="268"/>
      <c r="G204" s="268"/>
      <c r="H204" s="269"/>
      <c r="I204" s="270"/>
      <c r="J204" s="271"/>
      <c r="K204" s="269"/>
      <c r="L204" s="269"/>
      <c r="M204" s="269"/>
      <c r="N204" s="269"/>
      <c r="O204" s="269"/>
    </row>
    <row r="205" spans="1:15">
      <c r="A205" s="268"/>
      <c r="B205" s="268"/>
      <c r="C205" s="268"/>
      <c r="D205" s="268"/>
      <c r="E205" s="268"/>
      <c r="F205" s="268"/>
      <c r="G205" s="268"/>
      <c r="H205" s="269"/>
      <c r="I205" s="270"/>
      <c r="J205" s="271"/>
      <c r="K205" s="269"/>
      <c r="L205" s="269"/>
      <c r="M205" s="269"/>
      <c r="N205" s="269"/>
      <c r="O205" s="269"/>
    </row>
    <row r="209" spans="1:15" s="115" customFormat="1">
      <c r="A209" s="82"/>
      <c r="B209" s="82"/>
      <c r="C209" s="82"/>
      <c r="D209" s="82"/>
      <c r="E209" s="82"/>
      <c r="F209" s="82"/>
      <c r="G209" s="82"/>
      <c r="H209" s="83"/>
      <c r="I209" s="84"/>
      <c r="J209" s="85"/>
      <c r="K209" s="83"/>
      <c r="L209" s="83"/>
      <c r="M209" s="83"/>
      <c r="N209" s="83"/>
      <c r="O209" s="83"/>
    </row>
    <row r="210" spans="1:15" s="115" customFormat="1">
      <c r="A210" s="82"/>
      <c r="B210" s="82"/>
      <c r="C210" s="82"/>
      <c r="D210" s="82"/>
      <c r="E210" s="82"/>
      <c r="F210" s="82"/>
      <c r="G210" s="82"/>
      <c r="H210" s="83"/>
      <c r="I210" s="84"/>
      <c r="J210" s="85"/>
      <c r="K210" s="83"/>
      <c r="L210" s="83"/>
      <c r="M210" s="83"/>
      <c r="N210" s="83"/>
      <c r="O210" s="83"/>
    </row>
    <row r="212" spans="1:15" s="268" customFormat="1">
      <c r="A212" s="82"/>
      <c r="B212" s="82"/>
      <c r="C212" s="82"/>
      <c r="D212" s="82"/>
      <c r="E212" s="82"/>
      <c r="F212" s="82"/>
      <c r="G212" s="82"/>
      <c r="H212" s="83"/>
      <c r="I212" s="84"/>
      <c r="J212" s="85"/>
      <c r="K212" s="83"/>
      <c r="L212" s="83"/>
      <c r="M212" s="83"/>
      <c r="N212" s="83"/>
      <c r="O212" s="83"/>
    </row>
    <row r="213" spans="1:15" s="272" customFormat="1">
      <c r="A213" s="82"/>
      <c r="B213" s="82"/>
      <c r="C213" s="82"/>
      <c r="D213" s="82"/>
      <c r="E213" s="82"/>
      <c r="F213" s="82"/>
      <c r="G213" s="82"/>
      <c r="H213" s="83"/>
      <c r="I213" s="84"/>
      <c r="J213" s="85"/>
      <c r="K213" s="83"/>
      <c r="L213" s="83"/>
      <c r="M213" s="83"/>
      <c r="N213" s="83"/>
      <c r="O213" s="83"/>
    </row>
    <row r="214" spans="1:15" s="272" customFormat="1">
      <c r="A214" s="82"/>
      <c r="B214" s="82"/>
      <c r="C214" s="82"/>
      <c r="D214" s="82"/>
      <c r="E214" s="82"/>
      <c r="F214" s="82"/>
      <c r="G214" s="82"/>
      <c r="H214" s="83"/>
      <c r="I214" s="84"/>
      <c r="J214" s="85"/>
      <c r="K214" s="83"/>
      <c r="L214" s="83"/>
      <c r="M214" s="83"/>
      <c r="N214" s="83"/>
      <c r="O214" s="83"/>
    </row>
    <row r="215" spans="1:15" s="268" customFormat="1">
      <c r="A215" s="82"/>
      <c r="B215" s="82"/>
      <c r="C215" s="82"/>
      <c r="D215" s="82"/>
      <c r="E215" s="82"/>
      <c r="F215" s="82"/>
      <c r="G215" s="82"/>
      <c r="H215" s="83"/>
      <c r="I215" s="84"/>
      <c r="J215" s="85"/>
      <c r="K215" s="83"/>
      <c r="L215" s="83"/>
      <c r="M215" s="83"/>
      <c r="N215" s="83"/>
      <c r="O215" s="83"/>
    </row>
    <row r="216" spans="1:15" s="268" customFormat="1">
      <c r="A216" s="82"/>
      <c r="B216" s="82"/>
      <c r="C216" s="82"/>
      <c r="D216" s="82"/>
      <c r="E216" s="82"/>
      <c r="F216" s="82"/>
      <c r="G216" s="82"/>
      <c r="H216" s="83"/>
      <c r="I216" s="84"/>
      <c r="J216" s="85"/>
      <c r="K216" s="83"/>
      <c r="L216" s="83"/>
      <c r="M216" s="83"/>
      <c r="N216" s="83"/>
      <c r="O216" s="83"/>
    </row>
  </sheetData>
  <mergeCells count="5">
    <mergeCell ref="A1:E1"/>
    <mergeCell ref="A2:E2"/>
    <mergeCell ref="A3:E3"/>
    <mergeCell ref="A5:A7"/>
    <mergeCell ref="B5:B7"/>
  </mergeCells>
  <printOptions horizontalCentered="1"/>
  <pageMargins left="0.33" right="0.3" top="0.39370078740157499" bottom="0.47244094488188998" header="0.31496062992126" footer="0.86614173228346503"/>
  <pageSetup paperSize="258" scale="79" orientation="landscape" horizontalDpi="18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N33"/>
  <sheetViews>
    <sheetView topLeftCell="A15" zoomScale="180" zoomScaleNormal="180" workbookViewId="0">
      <selection activeCell="B21" sqref="B21"/>
    </sheetView>
  </sheetViews>
  <sheetFormatPr defaultColWidth="23.28515625" defaultRowHeight="20.100000000000001" customHeight="1"/>
  <cols>
    <col min="1" max="1" width="13.140625" style="10" customWidth="1"/>
    <col min="2" max="2" width="49.5703125" style="11" bestFit="1" customWidth="1"/>
    <col min="3" max="3" width="18.7109375" style="12" hidden="1" customWidth="1"/>
    <col min="4" max="4" width="18.42578125" style="12" hidden="1" customWidth="1"/>
    <col min="5" max="5" width="18.28515625" style="13" hidden="1" customWidth="1"/>
    <col min="6" max="6" width="15.42578125" style="13" hidden="1" customWidth="1"/>
    <col min="7" max="7" width="17.5703125" style="13" hidden="1" customWidth="1"/>
    <col min="8" max="8" width="17.85546875" style="13" hidden="1" customWidth="1"/>
    <col min="9" max="9" width="17.5703125" style="13" hidden="1" customWidth="1"/>
    <col min="10" max="10" width="17.5703125" style="13" bestFit="1" customWidth="1"/>
    <col min="11" max="11" width="14" style="277" hidden="1" customWidth="1"/>
    <col min="12" max="12" width="12.42578125" style="276" hidden="1" customWidth="1"/>
    <col min="13" max="16" width="17.5703125" style="13" bestFit="1" customWidth="1"/>
    <col min="17" max="17" width="22.5703125" style="13" customWidth="1"/>
    <col min="18" max="242" width="9.140625" style="13" customWidth="1"/>
    <col min="243" max="243" width="6" style="13" customWidth="1"/>
    <col min="244" max="244" width="50.28515625" style="13" customWidth="1"/>
    <col min="245" max="246" width="0" style="13" hidden="1" customWidth="1"/>
    <col min="247" max="247" width="20.7109375" style="13" customWidth="1"/>
    <col min="248" max="248" width="23.28515625" style="13" customWidth="1"/>
    <col min="249" max="258" width="23.28515625" style="9"/>
    <col min="259" max="259" width="13.140625" style="9" customWidth="1"/>
    <col min="260" max="260" width="58" style="9" customWidth="1"/>
    <col min="261" max="261" width="25" style="9" customWidth="1"/>
    <col min="262" max="262" width="20.7109375" style="9" customWidth="1"/>
    <col min="263" max="263" width="25" style="9" customWidth="1"/>
    <col min="264" max="498" width="9.140625" style="9" customWidth="1"/>
    <col min="499" max="499" width="6" style="9" customWidth="1"/>
    <col min="500" max="500" width="50.28515625" style="9" customWidth="1"/>
    <col min="501" max="502" width="0" style="9" hidden="1" customWidth="1"/>
    <col min="503" max="503" width="20.7109375" style="9" customWidth="1"/>
    <col min="504" max="504" width="23.28515625" style="9" customWidth="1"/>
    <col min="505" max="514" width="23.28515625" style="9"/>
    <col min="515" max="515" width="13.140625" style="9" customWidth="1"/>
    <col min="516" max="516" width="58" style="9" customWidth="1"/>
    <col min="517" max="517" width="25" style="9" customWidth="1"/>
    <col min="518" max="518" width="20.7109375" style="9" customWidth="1"/>
    <col min="519" max="519" width="25" style="9" customWidth="1"/>
    <col min="520" max="754" width="9.140625" style="9" customWidth="1"/>
    <col min="755" max="755" width="6" style="9" customWidth="1"/>
    <col min="756" max="756" width="50.28515625" style="9" customWidth="1"/>
    <col min="757" max="758" width="0" style="9" hidden="1" customWidth="1"/>
    <col min="759" max="759" width="20.7109375" style="9" customWidth="1"/>
    <col min="760" max="760" width="23.28515625" style="9" customWidth="1"/>
    <col min="761" max="770" width="23.28515625" style="9"/>
    <col min="771" max="771" width="13.140625" style="9" customWidth="1"/>
    <col min="772" max="772" width="58" style="9" customWidth="1"/>
    <col min="773" max="773" width="25" style="9" customWidth="1"/>
    <col min="774" max="774" width="20.7109375" style="9" customWidth="1"/>
    <col min="775" max="775" width="25" style="9" customWidth="1"/>
    <col min="776" max="1010" width="9.140625" style="9" customWidth="1"/>
    <col min="1011" max="1011" width="6" style="9" customWidth="1"/>
    <col min="1012" max="1012" width="50.28515625" style="9" customWidth="1"/>
    <col min="1013" max="1014" width="0" style="9" hidden="1" customWidth="1"/>
    <col min="1015" max="1015" width="20.7109375" style="9" customWidth="1"/>
    <col min="1016" max="1016" width="23.28515625" style="9" customWidth="1"/>
    <col min="1017" max="1026" width="23.28515625" style="9"/>
    <col min="1027" max="1027" width="13.140625" style="9" customWidth="1"/>
    <col min="1028" max="1028" width="58" style="9" customWidth="1"/>
    <col min="1029" max="1029" width="25" style="9" customWidth="1"/>
    <col min="1030" max="1030" width="20.7109375" style="9" customWidth="1"/>
    <col min="1031" max="1031" width="25" style="9" customWidth="1"/>
    <col min="1032" max="1266" width="9.140625" style="9" customWidth="1"/>
    <col min="1267" max="1267" width="6" style="9" customWidth="1"/>
    <col min="1268" max="1268" width="50.28515625" style="9" customWidth="1"/>
    <col min="1269" max="1270" width="0" style="9" hidden="1" customWidth="1"/>
    <col min="1271" max="1271" width="20.7109375" style="9" customWidth="1"/>
    <col min="1272" max="1272" width="23.28515625" style="9" customWidth="1"/>
    <col min="1273" max="1282" width="23.28515625" style="9"/>
    <col min="1283" max="1283" width="13.140625" style="9" customWidth="1"/>
    <col min="1284" max="1284" width="58" style="9" customWidth="1"/>
    <col min="1285" max="1285" width="25" style="9" customWidth="1"/>
    <col min="1286" max="1286" width="20.7109375" style="9" customWidth="1"/>
    <col min="1287" max="1287" width="25" style="9" customWidth="1"/>
    <col min="1288" max="1522" width="9.140625" style="9" customWidth="1"/>
    <col min="1523" max="1523" width="6" style="9" customWidth="1"/>
    <col min="1524" max="1524" width="50.28515625" style="9" customWidth="1"/>
    <col min="1525" max="1526" width="0" style="9" hidden="1" customWidth="1"/>
    <col min="1527" max="1527" width="20.7109375" style="9" customWidth="1"/>
    <col min="1528" max="1528" width="23.28515625" style="9" customWidth="1"/>
    <col min="1529" max="1538" width="23.28515625" style="9"/>
    <col min="1539" max="1539" width="13.140625" style="9" customWidth="1"/>
    <col min="1540" max="1540" width="58" style="9" customWidth="1"/>
    <col min="1541" max="1541" width="25" style="9" customWidth="1"/>
    <col min="1542" max="1542" width="20.7109375" style="9" customWidth="1"/>
    <col min="1543" max="1543" width="25" style="9" customWidth="1"/>
    <col min="1544" max="1778" width="9.140625" style="9" customWidth="1"/>
    <col min="1779" max="1779" width="6" style="9" customWidth="1"/>
    <col min="1780" max="1780" width="50.28515625" style="9" customWidth="1"/>
    <col min="1781" max="1782" width="0" style="9" hidden="1" customWidth="1"/>
    <col min="1783" max="1783" width="20.7109375" style="9" customWidth="1"/>
    <col min="1784" max="1784" width="23.28515625" style="9" customWidth="1"/>
    <col min="1785" max="1794" width="23.28515625" style="9"/>
    <col min="1795" max="1795" width="13.140625" style="9" customWidth="1"/>
    <col min="1796" max="1796" width="58" style="9" customWidth="1"/>
    <col min="1797" max="1797" width="25" style="9" customWidth="1"/>
    <col min="1798" max="1798" width="20.7109375" style="9" customWidth="1"/>
    <col min="1799" max="1799" width="25" style="9" customWidth="1"/>
    <col min="1800" max="2034" width="9.140625" style="9" customWidth="1"/>
    <col min="2035" max="2035" width="6" style="9" customWidth="1"/>
    <col min="2036" max="2036" width="50.28515625" style="9" customWidth="1"/>
    <col min="2037" max="2038" width="0" style="9" hidden="1" customWidth="1"/>
    <col min="2039" max="2039" width="20.7109375" style="9" customWidth="1"/>
    <col min="2040" max="2040" width="23.28515625" style="9" customWidth="1"/>
    <col min="2041" max="2050" width="23.28515625" style="9"/>
    <col min="2051" max="2051" width="13.140625" style="9" customWidth="1"/>
    <col min="2052" max="2052" width="58" style="9" customWidth="1"/>
    <col min="2053" max="2053" width="25" style="9" customWidth="1"/>
    <col min="2054" max="2054" width="20.7109375" style="9" customWidth="1"/>
    <col min="2055" max="2055" width="25" style="9" customWidth="1"/>
    <col min="2056" max="2290" width="9.140625" style="9" customWidth="1"/>
    <col min="2291" max="2291" width="6" style="9" customWidth="1"/>
    <col min="2292" max="2292" width="50.28515625" style="9" customWidth="1"/>
    <col min="2293" max="2294" width="0" style="9" hidden="1" customWidth="1"/>
    <col min="2295" max="2295" width="20.7109375" style="9" customWidth="1"/>
    <col min="2296" max="2296" width="23.28515625" style="9" customWidth="1"/>
    <col min="2297" max="2306" width="23.28515625" style="9"/>
    <col min="2307" max="2307" width="13.140625" style="9" customWidth="1"/>
    <col min="2308" max="2308" width="58" style="9" customWidth="1"/>
    <col min="2309" max="2309" width="25" style="9" customWidth="1"/>
    <col min="2310" max="2310" width="20.7109375" style="9" customWidth="1"/>
    <col min="2311" max="2311" width="25" style="9" customWidth="1"/>
    <col min="2312" max="2546" width="9.140625" style="9" customWidth="1"/>
    <col min="2547" max="2547" width="6" style="9" customWidth="1"/>
    <col min="2548" max="2548" width="50.28515625" style="9" customWidth="1"/>
    <col min="2549" max="2550" width="0" style="9" hidden="1" customWidth="1"/>
    <col min="2551" max="2551" width="20.7109375" style="9" customWidth="1"/>
    <col min="2552" max="2552" width="23.28515625" style="9" customWidth="1"/>
    <col min="2553" max="2562" width="23.28515625" style="9"/>
    <col min="2563" max="2563" width="13.140625" style="9" customWidth="1"/>
    <col min="2564" max="2564" width="58" style="9" customWidth="1"/>
    <col min="2565" max="2565" width="25" style="9" customWidth="1"/>
    <col min="2566" max="2566" width="20.7109375" style="9" customWidth="1"/>
    <col min="2567" max="2567" width="25" style="9" customWidth="1"/>
    <col min="2568" max="2802" width="9.140625" style="9" customWidth="1"/>
    <col min="2803" max="2803" width="6" style="9" customWidth="1"/>
    <col min="2804" max="2804" width="50.28515625" style="9" customWidth="1"/>
    <col min="2805" max="2806" width="0" style="9" hidden="1" customWidth="1"/>
    <col min="2807" max="2807" width="20.7109375" style="9" customWidth="1"/>
    <col min="2808" max="2808" width="23.28515625" style="9" customWidth="1"/>
    <col min="2809" max="2818" width="23.28515625" style="9"/>
    <col min="2819" max="2819" width="13.140625" style="9" customWidth="1"/>
    <col min="2820" max="2820" width="58" style="9" customWidth="1"/>
    <col min="2821" max="2821" width="25" style="9" customWidth="1"/>
    <col min="2822" max="2822" width="20.7109375" style="9" customWidth="1"/>
    <col min="2823" max="2823" width="25" style="9" customWidth="1"/>
    <col min="2824" max="3058" width="9.140625" style="9" customWidth="1"/>
    <col min="3059" max="3059" width="6" style="9" customWidth="1"/>
    <col min="3060" max="3060" width="50.28515625" style="9" customWidth="1"/>
    <col min="3061" max="3062" width="0" style="9" hidden="1" customWidth="1"/>
    <col min="3063" max="3063" width="20.7109375" style="9" customWidth="1"/>
    <col min="3064" max="3064" width="23.28515625" style="9" customWidth="1"/>
    <col min="3065" max="3074" width="23.28515625" style="9"/>
    <col min="3075" max="3075" width="13.140625" style="9" customWidth="1"/>
    <col min="3076" max="3076" width="58" style="9" customWidth="1"/>
    <col min="3077" max="3077" width="25" style="9" customWidth="1"/>
    <col min="3078" max="3078" width="20.7109375" style="9" customWidth="1"/>
    <col min="3079" max="3079" width="25" style="9" customWidth="1"/>
    <col min="3080" max="3314" width="9.140625" style="9" customWidth="1"/>
    <col min="3315" max="3315" width="6" style="9" customWidth="1"/>
    <col min="3316" max="3316" width="50.28515625" style="9" customWidth="1"/>
    <col min="3317" max="3318" width="0" style="9" hidden="1" customWidth="1"/>
    <col min="3319" max="3319" width="20.7109375" style="9" customWidth="1"/>
    <col min="3320" max="3320" width="23.28515625" style="9" customWidth="1"/>
    <col min="3321" max="3330" width="23.28515625" style="9"/>
    <col min="3331" max="3331" width="13.140625" style="9" customWidth="1"/>
    <col min="3332" max="3332" width="58" style="9" customWidth="1"/>
    <col min="3333" max="3333" width="25" style="9" customWidth="1"/>
    <col min="3334" max="3334" width="20.7109375" style="9" customWidth="1"/>
    <col min="3335" max="3335" width="25" style="9" customWidth="1"/>
    <col min="3336" max="3570" width="9.140625" style="9" customWidth="1"/>
    <col min="3571" max="3571" width="6" style="9" customWidth="1"/>
    <col min="3572" max="3572" width="50.28515625" style="9" customWidth="1"/>
    <col min="3573" max="3574" width="0" style="9" hidden="1" customWidth="1"/>
    <col min="3575" max="3575" width="20.7109375" style="9" customWidth="1"/>
    <col min="3576" max="3576" width="23.28515625" style="9" customWidth="1"/>
    <col min="3577" max="3586" width="23.28515625" style="9"/>
    <col min="3587" max="3587" width="13.140625" style="9" customWidth="1"/>
    <col min="3588" max="3588" width="58" style="9" customWidth="1"/>
    <col min="3589" max="3589" width="25" style="9" customWidth="1"/>
    <col min="3590" max="3590" width="20.7109375" style="9" customWidth="1"/>
    <col min="3591" max="3591" width="25" style="9" customWidth="1"/>
    <col min="3592" max="3826" width="9.140625" style="9" customWidth="1"/>
    <col min="3827" max="3827" width="6" style="9" customWidth="1"/>
    <col min="3828" max="3828" width="50.28515625" style="9" customWidth="1"/>
    <col min="3829" max="3830" width="0" style="9" hidden="1" customWidth="1"/>
    <col min="3831" max="3831" width="20.7109375" style="9" customWidth="1"/>
    <col min="3832" max="3832" width="23.28515625" style="9" customWidth="1"/>
    <col min="3833" max="3842" width="23.28515625" style="9"/>
    <col min="3843" max="3843" width="13.140625" style="9" customWidth="1"/>
    <col min="3844" max="3844" width="58" style="9" customWidth="1"/>
    <col min="3845" max="3845" width="25" style="9" customWidth="1"/>
    <col min="3846" max="3846" width="20.7109375" style="9" customWidth="1"/>
    <col min="3847" max="3847" width="25" style="9" customWidth="1"/>
    <col min="3848" max="4082" width="9.140625" style="9" customWidth="1"/>
    <col min="4083" max="4083" width="6" style="9" customWidth="1"/>
    <col min="4084" max="4084" width="50.28515625" style="9" customWidth="1"/>
    <col min="4085" max="4086" width="0" style="9" hidden="1" customWidth="1"/>
    <col min="4087" max="4087" width="20.7109375" style="9" customWidth="1"/>
    <col min="4088" max="4088" width="23.28515625" style="9" customWidth="1"/>
    <col min="4089" max="4098" width="23.28515625" style="9"/>
    <col min="4099" max="4099" width="13.140625" style="9" customWidth="1"/>
    <col min="4100" max="4100" width="58" style="9" customWidth="1"/>
    <col min="4101" max="4101" width="25" style="9" customWidth="1"/>
    <col min="4102" max="4102" width="20.7109375" style="9" customWidth="1"/>
    <col min="4103" max="4103" width="25" style="9" customWidth="1"/>
    <col min="4104" max="4338" width="9.140625" style="9" customWidth="1"/>
    <col min="4339" max="4339" width="6" style="9" customWidth="1"/>
    <col min="4340" max="4340" width="50.28515625" style="9" customWidth="1"/>
    <col min="4341" max="4342" width="0" style="9" hidden="1" customWidth="1"/>
    <col min="4343" max="4343" width="20.7109375" style="9" customWidth="1"/>
    <col min="4344" max="4344" width="23.28515625" style="9" customWidth="1"/>
    <col min="4345" max="4354" width="23.28515625" style="9"/>
    <col min="4355" max="4355" width="13.140625" style="9" customWidth="1"/>
    <col min="4356" max="4356" width="58" style="9" customWidth="1"/>
    <col min="4357" max="4357" width="25" style="9" customWidth="1"/>
    <col min="4358" max="4358" width="20.7109375" style="9" customWidth="1"/>
    <col min="4359" max="4359" width="25" style="9" customWidth="1"/>
    <col min="4360" max="4594" width="9.140625" style="9" customWidth="1"/>
    <col min="4595" max="4595" width="6" style="9" customWidth="1"/>
    <col min="4596" max="4596" width="50.28515625" style="9" customWidth="1"/>
    <col min="4597" max="4598" width="0" style="9" hidden="1" customWidth="1"/>
    <col min="4599" max="4599" width="20.7109375" style="9" customWidth="1"/>
    <col min="4600" max="4600" width="23.28515625" style="9" customWidth="1"/>
    <col min="4601" max="4610" width="23.28515625" style="9"/>
    <col min="4611" max="4611" width="13.140625" style="9" customWidth="1"/>
    <col min="4612" max="4612" width="58" style="9" customWidth="1"/>
    <col min="4613" max="4613" width="25" style="9" customWidth="1"/>
    <col min="4614" max="4614" width="20.7109375" style="9" customWidth="1"/>
    <col min="4615" max="4615" width="25" style="9" customWidth="1"/>
    <col min="4616" max="4850" width="9.140625" style="9" customWidth="1"/>
    <col min="4851" max="4851" width="6" style="9" customWidth="1"/>
    <col min="4852" max="4852" width="50.28515625" style="9" customWidth="1"/>
    <col min="4853" max="4854" width="0" style="9" hidden="1" customWidth="1"/>
    <col min="4855" max="4855" width="20.7109375" style="9" customWidth="1"/>
    <col min="4856" max="4856" width="23.28515625" style="9" customWidth="1"/>
    <col min="4857" max="4866" width="23.28515625" style="9"/>
    <col min="4867" max="4867" width="13.140625" style="9" customWidth="1"/>
    <col min="4868" max="4868" width="58" style="9" customWidth="1"/>
    <col min="4869" max="4869" width="25" style="9" customWidth="1"/>
    <col min="4870" max="4870" width="20.7109375" style="9" customWidth="1"/>
    <col min="4871" max="4871" width="25" style="9" customWidth="1"/>
    <col min="4872" max="5106" width="9.140625" style="9" customWidth="1"/>
    <col min="5107" max="5107" width="6" style="9" customWidth="1"/>
    <col min="5108" max="5108" width="50.28515625" style="9" customWidth="1"/>
    <col min="5109" max="5110" width="0" style="9" hidden="1" customWidth="1"/>
    <col min="5111" max="5111" width="20.7109375" style="9" customWidth="1"/>
    <col min="5112" max="5112" width="23.28515625" style="9" customWidth="1"/>
    <col min="5113" max="5122" width="23.28515625" style="9"/>
    <col min="5123" max="5123" width="13.140625" style="9" customWidth="1"/>
    <col min="5124" max="5124" width="58" style="9" customWidth="1"/>
    <col min="5125" max="5125" width="25" style="9" customWidth="1"/>
    <col min="5126" max="5126" width="20.7109375" style="9" customWidth="1"/>
    <col min="5127" max="5127" width="25" style="9" customWidth="1"/>
    <col min="5128" max="5362" width="9.140625" style="9" customWidth="1"/>
    <col min="5363" max="5363" width="6" style="9" customWidth="1"/>
    <col min="5364" max="5364" width="50.28515625" style="9" customWidth="1"/>
    <col min="5365" max="5366" width="0" style="9" hidden="1" customWidth="1"/>
    <col min="5367" max="5367" width="20.7109375" style="9" customWidth="1"/>
    <col min="5368" max="5368" width="23.28515625" style="9" customWidth="1"/>
    <col min="5369" max="5378" width="23.28515625" style="9"/>
    <col min="5379" max="5379" width="13.140625" style="9" customWidth="1"/>
    <col min="5380" max="5380" width="58" style="9" customWidth="1"/>
    <col min="5381" max="5381" width="25" style="9" customWidth="1"/>
    <col min="5382" max="5382" width="20.7109375" style="9" customWidth="1"/>
    <col min="5383" max="5383" width="25" style="9" customWidth="1"/>
    <col min="5384" max="5618" width="9.140625" style="9" customWidth="1"/>
    <col min="5619" max="5619" width="6" style="9" customWidth="1"/>
    <col min="5620" max="5620" width="50.28515625" style="9" customWidth="1"/>
    <col min="5621" max="5622" width="0" style="9" hidden="1" customWidth="1"/>
    <col min="5623" max="5623" width="20.7109375" style="9" customWidth="1"/>
    <col min="5624" max="5624" width="23.28515625" style="9" customWidth="1"/>
    <col min="5625" max="5634" width="23.28515625" style="9"/>
    <col min="5635" max="5635" width="13.140625" style="9" customWidth="1"/>
    <col min="5636" max="5636" width="58" style="9" customWidth="1"/>
    <col min="5637" max="5637" width="25" style="9" customWidth="1"/>
    <col min="5638" max="5638" width="20.7109375" style="9" customWidth="1"/>
    <col min="5639" max="5639" width="25" style="9" customWidth="1"/>
    <col min="5640" max="5874" width="9.140625" style="9" customWidth="1"/>
    <col min="5875" max="5875" width="6" style="9" customWidth="1"/>
    <col min="5876" max="5876" width="50.28515625" style="9" customWidth="1"/>
    <col min="5877" max="5878" width="0" style="9" hidden="1" customWidth="1"/>
    <col min="5879" max="5879" width="20.7109375" style="9" customWidth="1"/>
    <col min="5880" max="5880" width="23.28515625" style="9" customWidth="1"/>
    <col min="5881" max="5890" width="23.28515625" style="9"/>
    <col min="5891" max="5891" width="13.140625" style="9" customWidth="1"/>
    <col min="5892" max="5892" width="58" style="9" customWidth="1"/>
    <col min="5893" max="5893" width="25" style="9" customWidth="1"/>
    <col min="5894" max="5894" width="20.7109375" style="9" customWidth="1"/>
    <col min="5895" max="5895" width="25" style="9" customWidth="1"/>
    <col min="5896" max="6130" width="9.140625" style="9" customWidth="1"/>
    <col min="6131" max="6131" width="6" style="9" customWidth="1"/>
    <col min="6132" max="6132" width="50.28515625" style="9" customWidth="1"/>
    <col min="6133" max="6134" width="0" style="9" hidden="1" customWidth="1"/>
    <col min="6135" max="6135" width="20.7109375" style="9" customWidth="1"/>
    <col min="6136" max="6136" width="23.28515625" style="9" customWidth="1"/>
    <col min="6137" max="6146" width="23.28515625" style="9"/>
    <col min="6147" max="6147" width="13.140625" style="9" customWidth="1"/>
    <col min="6148" max="6148" width="58" style="9" customWidth="1"/>
    <col min="6149" max="6149" width="25" style="9" customWidth="1"/>
    <col min="6150" max="6150" width="20.7109375" style="9" customWidth="1"/>
    <col min="6151" max="6151" width="25" style="9" customWidth="1"/>
    <col min="6152" max="6386" width="9.140625" style="9" customWidth="1"/>
    <col min="6387" max="6387" width="6" style="9" customWidth="1"/>
    <col min="6388" max="6388" width="50.28515625" style="9" customWidth="1"/>
    <col min="6389" max="6390" width="0" style="9" hidden="1" customWidth="1"/>
    <col min="6391" max="6391" width="20.7109375" style="9" customWidth="1"/>
    <col min="6392" max="6392" width="23.28515625" style="9" customWidth="1"/>
    <col min="6393" max="6402" width="23.28515625" style="9"/>
    <col min="6403" max="6403" width="13.140625" style="9" customWidth="1"/>
    <col min="6404" max="6404" width="58" style="9" customWidth="1"/>
    <col min="6405" max="6405" width="25" style="9" customWidth="1"/>
    <col min="6406" max="6406" width="20.7109375" style="9" customWidth="1"/>
    <col min="6407" max="6407" width="25" style="9" customWidth="1"/>
    <col min="6408" max="6642" width="9.140625" style="9" customWidth="1"/>
    <col min="6643" max="6643" width="6" style="9" customWidth="1"/>
    <col min="6644" max="6644" width="50.28515625" style="9" customWidth="1"/>
    <col min="6645" max="6646" width="0" style="9" hidden="1" customWidth="1"/>
    <col min="6647" max="6647" width="20.7109375" style="9" customWidth="1"/>
    <col min="6648" max="6648" width="23.28515625" style="9" customWidth="1"/>
    <col min="6649" max="6658" width="23.28515625" style="9"/>
    <col min="6659" max="6659" width="13.140625" style="9" customWidth="1"/>
    <col min="6660" max="6660" width="58" style="9" customWidth="1"/>
    <col min="6661" max="6661" width="25" style="9" customWidth="1"/>
    <col min="6662" max="6662" width="20.7109375" style="9" customWidth="1"/>
    <col min="6663" max="6663" width="25" style="9" customWidth="1"/>
    <col min="6664" max="6898" width="9.140625" style="9" customWidth="1"/>
    <col min="6899" max="6899" width="6" style="9" customWidth="1"/>
    <col min="6900" max="6900" width="50.28515625" style="9" customWidth="1"/>
    <col min="6901" max="6902" width="0" style="9" hidden="1" customWidth="1"/>
    <col min="6903" max="6903" width="20.7109375" style="9" customWidth="1"/>
    <col min="6904" max="6904" width="23.28515625" style="9" customWidth="1"/>
    <col min="6905" max="6914" width="23.28515625" style="9"/>
    <col min="6915" max="6915" width="13.140625" style="9" customWidth="1"/>
    <col min="6916" max="6916" width="58" style="9" customWidth="1"/>
    <col min="6917" max="6917" width="25" style="9" customWidth="1"/>
    <col min="6918" max="6918" width="20.7109375" style="9" customWidth="1"/>
    <col min="6919" max="6919" width="25" style="9" customWidth="1"/>
    <col min="6920" max="7154" width="9.140625" style="9" customWidth="1"/>
    <col min="7155" max="7155" width="6" style="9" customWidth="1"/>
    <col min="7156" max="7156" width="50.28515625" style="9" customWidth="1"/>
    <col min="7157" max="7158" width="0" style="9" hidden="1" customWidth="1"/>
    <col min="7159" max="7159" width="20.7109375" style="9" customWidth="1"/>
    <col min="7160" max="7160" width="23.28515625" style="9" customWidth="1"/>
    <col min="7161" max="7170" width="23.28515625" style="9"/>
    <col min="7171" max="7171" width="13.140625" style="9" customWidth="1"/>
    <col min="7172" max="7172" width="58" style="9" customWidth="1"/>
    <col min="7173" max="7173" width="25" style="9" customWidth="1"/>
    <col min="7174" max="7174" width="20.7109375" style="9" customWidth="1"/>
    <col min="7175" max="7175" width="25" style="9" customWidth="1"/>
    <col min="7176" max="7410" width="9.140625" style="9" customWidth="1"/>
    <col min="7411" max="7411" width="6" style="9" customWidth="1"/>
    <col min="7412" max="7412" width="50.28515625" style="9" customWidth="1"/>
    <col min="7413" max="7414" width="0" style="9" hidden="1" customWidth="1"/>
    <col min="7415" max="7415" width="20.7109375" style="9" customWidth="1"/>
    <col min="7416" max="7416" width="23.28515625" style="9" customWidth="1"/>
    <col min="7417" max="7426" width="23.28515625" style="9"/>
    <col min="7427" max="7427" width="13.140625" style="9" customWidth="1"/>
    <col min="7428" max="7428" width="58" style="9" customWidth="1"/>
    <col min="7429" max="7429" width="25" style="9" customWidth="1"/>
    <col min="7430" max="7430" width="20.7109375" style="9" customWidth="1"/>
    <col min="7431" max="7431" width="25" style="9" customWidth="1"/>
    <col min="7432" max="7666" width="9.140625" style="9" customWidth="1"/>
    <col min="7667" max="7667" width="6" style="9" customWidth="1"/>
    <col min="7668" max="7668" width="50.28515625" style="9" customWidth="1"/>
    <col min="7669" max="7670" width="0" style="9" hidden="1" customWidth="1"/>
    <col min="7671" max="7671" width="20.7109375" style="9" customWidth="1"/>
    <col min="7672" max="7672" width="23.28515625" style="9" customWidth="1"/>
    <col min="7673" max="7682" width="23.28515625" style="9"/>
    <col min="7683" max="7683" width="13.140625" style="9" customWidth="1"/>
    <col min="7684" max="7684" width="58" style="9" customWidth="1"/>
    <col min="7685" max="7685" width="25" style="9" customWidth="1"/>
    <col min="7686" max="7686" width="20.7109375" style="9" customWidth="1"/>
    <col min="7687" max="7687" width="25" style="9" customWidth="1"/>
    <col min="7688" max="7922" width="9.140625" style="9" customWidth="1"/>
    <col min="7923" max="7923" width="6" style="9" customWidth="1"/>
    <col min="7924" max="7924" width="50.28515625" style="9" customWidth="1"/>
    <col min="7925" max="7926" width="0" style="9" hidden="1" customWidth="1"/>
    <col min="7927" max="7927" width="20.7109375" style="9" customWidth="1"/>
    <col min="7928" max="7928" width="23.28515625" style="9" customWidth="1"/>
    <col min="7929" max="7938" width="23.28515625" style="9"/>
    <col min="7939" max="7939" width="13.140625" style="9" customWidth="1"/>
    <col min="7940" max="7940" width="58" style="9" customWidth="1"/>
    <col min="7941" max="7941" width="25" style="9" customWidth="1"/>
    <col min="7942" max="7942" width="20.7109375" style="9" customWidth="1"/>
    <col min="7943" max="7943" width="25" style="9" customWidth="1"/>
    <col min="7944" max="8178" width="9.140625" style="9" customWidth="1"/>
    <col min="8179" max="8179" width="6" style="9" customWidth="1"/>
    <col min="8180" max="8180" width="50.28515625" style="9" customWidth="1"/>
    <col min="8181" max="8182" width="0" style="9" hidden="1" customWidth="1"/>
    <col min="8183" max="8183" width="20.7109375" style="9" customWidth="1"/>
    <col min="8184" max="8184" width="23.28515625" style="9" customWidth="1"/>
    <col min="8185" max="8194" width="23.28515625" style="9"/>
    <col min="8195" max="8195" width="13.140625" style="9" customWidth="1"/>
    <col min="8196" max="8196" width="58" style="9" customWidth="1"/>
    <col min="8197" max="8197" width="25" style="9" customWidth="1"/>
    <col min="8198" max="8198" width="20.7109375" style="9" customWidth="1"/>
    <col min="8199" max="8199" width="25" style="9" customWidth="1"/>
    <col min="8200" max="8434" width="9.140625" style="9" customWidth="1"/>
    <col min="8435" max="8435" width="6" style="9" customWidth="1"/>
    <col min="8436" max="8436" width="50.28515625" style="9" customWidth="1"/>
    <col min="8437" max="8438" width="0" style="9" hidden="1" customWidth="1"/>
    <col min="8439" max="8439" width="20.7109375" style="9" customWidth="1"/>
    <col min="8440" max="8440" width="23.28515625" style="9" customWidth="1"/>
    <col min="8441" max="8450" width="23.28515625" style="9"/>
    <col min="8451" max="8451" width="13.140625" style="9" customWidth="1"/>
    <col min="8452" max="8452" width="58" style="9" customWidth="1"/>
    <col min="8453" max="8453" width="25" style="9" customWidth="1"/>
    <col min="8454" max="8454" width="20.7109375" style="9" customWidth="1"/>
    <col min="8455" max="8455" width="25" style="9" customWidth="1"/>
    <col min="8456" max="8690" width="9.140625" style="9" customWidth="1"/>
    <col min="8691" max="8691" width="6" style="9" customWidth="1"/>
    <col min="8692" max="8692" width="50.28515625" style="9" customWidth="1"/>
    <col min="8693" max="8694" width="0" style="9" hidden="1" customWidth="1"/>
    <col min="8695" max="8695" width="20.7109375" style="9" customWidth="1"/>
    <col min="8696" max="8696" width="23.28515625" style="9" customWidth="1"/>
    <col min="8697" max="8706" width="23.28515625" style="9"/>
    <col min="8707" max="8707" width="13.140625" style="9" customWidth="1"/>
    <col min="8708" max="8708" width="58" style="9" customWidth="1"/>
    <col min="8709" max="8709" width="25" style="9" customWidth="1"/>
    <col min="8710" max="8710" width="20.7109375" style="9" customWidth="1"/>
    <col min="8711" max="8711" width="25" style="9" customWidth="1"/>
    <col min="8712" max="8946" width="9.140625" style="9" customWidth="1"/>
    <col min="8947" max="8947" width="6" style="9" customWidth="1"/>
    <col min="8948" max="8948" width="50.28515625" style="9" customWidth="1"/>
    <col min="8949" max="8950" width="0" style="9" hidden="1" customWidth="1"/>
    <col min="8951" max="8951" width="20.7109375" style="9" customWidth="1"/>
    <col min="8952" max="8952" width="23.28515625" style="9" customWidth="1"/>
    <col min="8953" max="8962" width="23.28515625" style="9"/>
    <col min="8963" max="8963" width="13.140625" style="9" customWidth="1"/>
    <col min="8964" max="8964" width="58" style="9" customWidth="1"/>
    <col min="8965" max="8965" width="25" style="9" customWidth="1"/>
    <col min="8966" max="8966" width="20.7109375" style="9" customWidth="1"/>
    <col min="8967" max="8967" width="25" style="9" customWidth="1"/>
    <col min="8968" max="9202" width="9.140625" style="9" customWidth="1"/>
    <col min="9203" max="9203" width="6" style="9" customWidth="1"/>
    <col min="9204" max="9204" width="50.28515625" style="9" customWidth="1"/>
    <col min="9205" max="9206" width="0" style="9" hidden="1" customWidth="1"/>
    <col min="9207" max="9207" width="20.7109375" style="9" customWidth="1"/>
    <col min="9208" max="9208" width="23.28515625" style="9" customWidth="1"/>
    <col min="9209" max="9218" width="23.28515625" style="9"/>
    <col min="9219" max="9219" width="13.140625" style="9" customWidth="1"/>
    <col min="9220" max="9220" width="58" style="9" customWidth="1"/>
    <col min="9221" max="9221" width="25" style="9" customWidth="1"/>
    <col min="9222" max="9222" width="20.7109375" style="9" customWidth="1"/>
    <col min="9223" max="9223" width="25" style="9" customWidth="1"/>
    <col min="9224" max="9458" width="9.140625" style="9" customWidth="1"/>
    <col min="9459" max="9459" width="6" style="9" customWidth="1"/>
    <col min="9460" max="9460" width="50.28515625" style="9" customWidth="1"/>
    <col min="9461" max="9462" width="0" style="9" hidden="1" customWidth="1"/>
    <col min="9463" max="9463" width="20.7109375" style="9" customWidth="1"/>
    <col min="9464" max="9464" width="23.28515625" style="9" customWidth="1"/>
    <col min="9465" max="9474" width="23.28515625" style="9"/>
    <col min="9475" max="9475" width="13.140625" style="9" customWidth="1"/>
    <col min="9476" max="9476" width="58" style="9" customWidth="1"/>
    <col min="9477" max="9477" width="25" style="9" customWidth="1"/>
    <col min="9478" max="9478" width="20.7109375" style="9" customWidth="1"/>
    <col min="9479" max="9479" width="25" style="9" customWidth="1"/>
    <col min="9480" max="9714" width="9.140625" style="9" customWidth="1"/>
    <col min="9715" max="9715" width="6" style="9" customWidth="1"/>
    <col min="9716" max="9716" width="50.28515625" style="9" customWidth="1"/>
    <col min="9717" max="9718" width="0" style="9" hidden="1" customWidth="1"/>
    <col min="9719" max="9719" width="20.7109375" style="9" customWidth="1"/>
    <col min="9720" max="9720" width="23.28515625" style="9" customWidth="1"/>
    <col min="9721" max="9730" width="23.28515625" style="9"/>
    <col min="9731" max="9731" width="13.140625" style="9" customWidth="1"/>
    <col min="9732" max="9732" width="58" style="9" customWidth="1"/>
    <col min="9733" max="9733" width="25" style="9" customWidth="1"/>
    <col min="9734" max="9734" width="20.7109375" style="9" customWidth="1"/>
    <col min="9735" max="9735" width="25" style="9" customWidth="1"/>
    <col min="9736" max="9970" width="9.140625" style="9" customWidth="1"/>
    <col min="9971" max="9971" width="6" style="9" customWidth="1"/>
    <col min="9972" max="9972" width="50.28515625" style="9" customWidth="1"/>
    <col min="9973" max="9974" width="0" style="9" hidden="1" customWidth="1"/>
    <col min="9975" max="9975" width="20.7109375" style="9" customWidth="1"/>
    <col min="9976" max="9976" width="23.28515625" style="9" customWidth="1"/>
    <col min="9977" max="9986" width="23.28515625" style="9"/>
    <col min="9987" max="9987" width="13.140625" style="9" customWidth="1"/>
    <col min="9988" max="9988" width="58" style="9" customWidth="1"/>
    <col min="9989" max="9989" width="25" style="9" customWidth="1"/>
    <col min="9990" max="9990" width="20.7109375" style="9" customWidth="1"/>
    <col min="9991" max="9991" width="25" style="9" customWidth="1"/>
    <col min="9992" max="10226" width="9.140625" style="9" customWidth="1"/>
    <col min="10227" max="10227" width="6" style="9" customWidth="1"/>
    <col min="10228" max="10228" width="50.28515625" style="9" customWidth="1"/>
    <col min="10229" max="10230" width="0" style="9" hidden="1" customWidth="1"/>
    <col min="10231" max="10231" width="20.7109375" style="9" customWidth="1"/>
    <col min="10232" max="10232" width="23.28515625" style="9" customWidth="1"/>
    <col min="10233" max="10242" width="23.28515625" style="9"/>
    <col min="10243" max="10243" width="13.140625" style="9" customWidth="1"/>
    <col min="10244" max="10244" width="58" style="9" customWidth="1"/>
    <col min="10245" max="10245" width="25" style="9" customWidth="1"/>
    <col min="10246" max="10246" width="20.7109375" style="9" customWidth="1"/>
    <col min="10247" max="10247" width="25" style="9" customWidth="1"/>
    <col min="10248" max="10482" width="9.140625" style="9" customWidth="1"/>
    <col min="10483" max="10483" width="6" style="9" customWidth="1"/>
    <col min="10484" max="10484" width="50.28515625" style="9" customWidth="1"/>
    <col min="10485" max="10486" width="0" style="9" hidden="1" customWidth="1"/>
    <col min="10487" max="10487" width="20.7109375" style="9" customWidth="1"/>
    <col min="10488" max="10488" width="23.28515625" style="9" customWidth="1"/>
    <col min="10489" max="10498" width="23.28515625" style="9"/>
    <col min="10499" max="10499" width="13.140625" style="9" customWidth="1"/>
    <col min="10500" max="10500" width="58" style="9" customWidth="1"/>
    <col min="10501" max="10501" width="25" style="9" customWidth="1"/>
    <col min="10502" max="10502" width="20.7109375" style="9" customWidth="1"/>
    <col min="10503" max="10503" width="25" style="9" customWidth="1"/>
    <col min="10504" max="10738" width="9.140625" style="9" customWidth="1"/>
    <col min="10739" max="10739" width="6" style="9" customWidth="1"/>
    <col min="10740" max="10740" width="50.28515625" style="9" customWidth="1"/>
    <col min="10741" max="10742" width="0" style="9" hidden="1" customWidth="1"/>
    <col min="10743" max="10743" width="20.7109375" style="9" customWidth="1"/>
    <col min="10744" max="10744" width="23.28515625" style="9" customWidth="1"/>
    <col min="10745" max="10754" width="23.28515625" style="9"/>
    <col min="10755" max="10755" width="13.140625" style="9" customWidth="1"/>
    <col min="10756" max="10756" width="58" style="9" customWidth="1"/>
    <col min="10757" max="10757" width="25" style="9" customWidth="1"/>
    <col min="10758" max="10758" width="20.7109375" style="9" customWidth="1"/>
    <col min="10759" max="10759" width="25" style="9" customWidth="1"/>
    <col min="10760" max="10994" width="9.140625" style="9" customWidth="1"/>
    <col min="10995" max="10995" width="6" style="9" customWidth="1"/>
    <col min="10996" max="10996" width="50.28515625" style="9" customWidth="1"/>
    <col min="10997" max="10998" width="0" style="9" hidden="1" customWidth="1"/>
    <col min="10999" max="10999" width="20.7109375" style="9" customWidth="1"/>
    <col min="11000" max="11000" width="23.28515625" style="9" customWidth="1"/>
    <col min="11001" max="11010" width="23.28515625" style="9"/>
    <col min="11011" max="11011" width="13.140625" style="9" customWidth="1"/>
    <col min="11012" max="11012" width="58" style="9" customWidth="1"/>
    <col min="11013" max="11013" width="25" style="9" customWidth="1"/>
    <col min="11014" max="11014" width="20.7109375" style="9" customWidth="1"/>
    <col min="11015" max="11015" width="25" style="9" customWidth="1"/>
    <col min="11016" max="11250" width="9.140625" style="9" customWidth="1"/>
    <col min="11251" max="11251" width="6" style="9" customWidth="1"/>
    <col min="11252" max="11252" width="50.28515625" style="9" customWidth="1"/>
    <col min="11253" max="11254" width="0" style="9" hidden="1" customWidth="1"/>
    <col min="11255" max="11255" width="20.7109375" style="9" customWidth="1"/>
    <col min="11256" max="11256" width="23.28515625" style="9" customWidth="1"/>
    <col min="11257" max="11266" width="23.28515625" style="9"/>
    <col min="11267" max="11267" width="13.140625" style="9" customWidth="1"/>
    <col min="11268" max="11268" width="58" style="9" customWidth="1"/>
    <col min="11269" max="11269" width="25" style="9" customWidth="1"/>
    <col min="11270" max="11270" width="20.7109375" style="9" customWidth="1"/>
    <col min="11271" max="11271" width="25" style="9" customWidth="1"/>
    <col min="11272" max="11506" width="9.140625" style="9" customWidth="1"/>
    <col min="11507" max="11507" width="6" style="9" customWidth="1"/>
    <col min="11508" max="11508" width="50.28515625" style="9" customWidth="1"/>
    <col min="11509" max="11510" width="0" style="9" hidden="1" customWidth="1"/>
    <col min="11511" max="11511" width="20.7109375" style="9" customWidth="1"/>
    <col min="11512" max="11512" width="23.28515625" style="9" customWidth="1"/>
    <col min="11513" max="11522" width="23.28515625" style="9"/>
    <col min="11523" max="11523" width="13.140625" style="9" customWidth="1"/>
    <col min="11524" max="11524" width="58" style="9" customWidth="1"/>
    <col min="11525" max="11525" width="25" style="9" customWidth="1"/>
    <col min="11526" max="11526" width="20.7109375" style="9" customWidth="1"/>
    <col min="11527" max="11527" width="25" style="9" customWidth="1"/>
    <col min="11528" max="11762" width="9.140625" style="9" customWidth="1"/>
    <col min="11763" max="11763" width="6" style="9" customWidth="1"/>
    <col min="11764" max="11764" width="50.28515625" style="9" customWidth="1"/>
    <col min="11765" max="11766" width="0" style="9" hidden="1" customWidth="1"/>
    <col min="11767" max="11767" width="20.7109375" style="9" customWidth="1"/>
    <col min="11768" max="11768" width="23.28515625" style="9" customWidth="1"/>
    <col min="11769" max="11778" width="23.28515625" style="9"/>
    <col min="11779" max="11779" width="13.140625" style="9" customWidth="1"/>
    <col min="11780" max="11780" width="58" style="9" customWidth="1"/>
    <col min="11781" max="11781" width="25" style="9" customWidth="1"/>
    <col min="11782" max="11782" width="20.7109375" style="9" customWidth="1"/>
    <col min="11783" max="11783" width="25" style="9" customWidth="1"/>
    <col min="11784" max="12018" width="9.140625" style="9" customWidth="1"/>
    <col min="12019" max="12019" width="6" style="9" customWidth="1"/>
    <col min="12020" max="12020" width="50.28515625" style="9" customWidth="1"/>
    <col min="12021" max="12022" width="0" style="9" hidden="1" customWidth="1"/>
    <col min="12023" max="12023" width="20.7109375" style="9" customWidth="1"/>
    <col min="12024" max="12024" width="23.28515625" style="9" customWidth="1"/>
    <col min="12025" max="12034" width="23.28515625" style="9"/>
    <col min="12035" max="12035" width="13.140625" style="9" customWidth="1"/>
    <col min="12036" max="12036" width="58" style="9" customWidth="1"/>
    <col min="12037" max="12037" width="25" style="9" customWidth="1"/>
    <col min="12038" max="12038" width="20.7109375" style="9" customWidth="1"/>
    <col min="12039" max="12039" width="25" style="9" customWidth="1"/>
    <col min="12040" max="12274" width="9.140625" style="9" customWidth="1"/>
    <col min="12275" max="12275" width="6" style="9" customWidth="1"/>
    <col min="12276" max="12276" width="50.28515625" style="9" customWidth="1"/>
    <col min="12277" max="12278" width="0" style="9" hidden="1" customWidth="1"/>
    <col min="12279" max="12279" width="20.7109375" style="9" customWidth="1"/>
    <col min="12280" max="12280" width="23.28515625" style="9" customWidth="1"/>
    <col min="12281" max="12290" width="23.28515625" style="9"/>
    <col min="12291" max="12291" width="13.140625" style="9" customWidth="1"/>
    <col min="12292" max="12292" width="58" style="9" customWidth="1"/>
    <col min="12293" max="12293" width="25" style="9" customWidth="1"/>
    <col min="12294" max="12294" width="20.7109375" style="9" customWidth="1"/>
    <col min="12295" max="12295" width="25" style="9" customWidth="1"/>
    <col min="12296" max="12530" width="9.140625" style="9" customWidth="1"/>
    <col min="12531" max="12531" width="6" style="9" customWidth="1"/>
    <col min="12532" max="12532" width="50.28515625" style="9" customWidth="1"/>
    <col min="12533" max="12534" width="0" style="9" hidden="1" customWidth="1"/>
    <col min="12535" max="12535" width="20.7109375" style="9" customWidth="1"/>
    <col min="12536" max="12536" width="23.28515625" style="9" customWidth="1"/>
    <col min="12537" max="12546" width="23.28515625" style="9"/>
    <col min="12547" max="12547" width="13.140625" style="9" customWidth="1"/>
    <col min="12548" max="12548" width="58" style="9" customWidth="1"/>
    <col min="12549" max="12549" width="25" style="9" customWidth="1"/>
    <col min="12550" max="12550" width="20.7109375" style="9" customWidth="1"/>
    <col min="12551" max="12551" width="25" style="9" customWidth="1"/>
    <col min="12552" max="12786" width="9.140625" style="9" customWidth="1"/>
    <col min="12787" max="12787" width="6" style="9" customWidth="1"/>
    <col min="12788" max="12788" width="50.28515625" style="9" customWidth="1"/>
    <col min="12789" max="12790" width="0" style="9" hidden="1" customWidth="1"/>
    <col min="12791" max="12791" width="20.7109375" style="9" customWidth="1"/>
    <col min="12792" max="12792" width="23.28515625" style="9" customWidth="1"/>
    <col min="12793" max="12802" width="23.28515625" style="9"/>
    <col min="12803" max="12803" width="13.140625" style="9" customWidth="1"/>
    <col min="12804" max="12804" width="58" style="9" customWidth="1"/>
    <col min="12805" max="12805" width="25" style="9" customWidth="1"/>
    <col min="12806" max="12806" width="20.7109375" style="9" customWidth="1"/>
    <col min="12807" max="12807" width="25" style="9" customWidth="1"/>
    <col min="12808" max="13042" width="9.140625" style="9" customWidth="1"/>
    <col min="13043" max="13043" width="6" style="9" customWidth="1"/>
    <col min="13044" max="13044" width="50.28515625" style="9" customWidth="1"/>
    <col min="13045" max="13046" width="0" style="9" hidden="1" customWidth="1"/>
    <col min="13047" max="13047" width="20.7109375" style="9" customWidth="1"/>
    <col min="13048" max="13048" width="23.28515625" style="9" customWidth="1"/>
    <col min="13049" max="13058" width="23.28515625" style="9"/>
    <col min="13059" max="13059" width="13.140625" style="9" customWidth="1"/>
    <col min="13060" max="13060" width="58" style="9" customWidth="1"/>
    <col min="13061" max="13061" width="25" style="9" customWidth="1"/>
    <col min="13062" max="13062" width="20.7109375" style="9" customWidth="1"/>
    <col min="13063" max="13063" width="25" style="9" customWidth="1"/>
    <col min="13064" max="13298" width="9.140625" style="9" customWidth="1"/>
    <col min="13299" max="13299" width="6" style="9" customWidth="1"/>
    <col min="13300" max="13300" width="50.28515625" style="9" customWidth="1"/>
    <col min="13301" max="13302" width="0" style="9" hidden="1" customWidth="1"/>
    <col min="13303" max="13303" width="20.7109375" style="9" customWidth="1"/>
    <col min="13304" max="13304" width="23.28515625" style="9" customWidth="1"/>
    <col min="13305" max="13314" width="23.28515625" style="9"/>
    <col min="13315" max="13315" width="13.140625" style="9" customWidth="1"/>
    <col min="13316" max="13316" width="58" style="9" customWidth="1"/>
    <col min="13317" max="13317" width="25" style="9" customWidth="1"/>
    <col min="13318" max="13318" width="20.7109375" style="9" customWidth="1"/>
    <col min="13319" max="13319" width="25" style="9" customWidth="1"/>
    <col min="13320" max="13554" width="9.140625" style="9" customWidth="1"/>
    <col min="13555" max="13555" width="6" style="9" customWidth="1"/>
    <col min="13556" max="13556" width="50.28515625" style="9" customWidth="1"/>
    <col min="13557" max="13558" width="0" style="9" hidden="1" customWidth="1"/>
    <col min="13559" max="13559" width="20.7109375" style="9" customWidth="1"/>
    <col min="13560" max="13560" width="23.28515625" style="9" customWidth="1"/>
    <col min="13561" max="13570" width="23.28515625" style="9"/>
    <col min="13571" max="13571" width="13.140625" style="9" customWidth="1"/>
    <col min="13572" max="13572" width="58" style="9" customWidth="1"/>
    <col min="13573" max="13573" width="25" style="9" customWidth="1"/>
    <col min="13574" max="13574" width="20.7109375" style="9" customWidth="1"/>
    <col min="13575" max="13575" width="25" style="9" customWidth="1"/>
    <col min="13576" max="13810" width="9.140625" style="9" customWidth="1"/>
    <col min="13811" max="13811" width="6" style="9" customWidth="1"/>
    <col min="13812" max="13812" width="50.28515625" style="9" customWidth="1"/>
    <col min="13813" max="13814" width="0" style="9" hidden="1" customWidth="1"/>
    <col min="13815" max="13815" width="20.7109375" style="9" customWidth="1"/>
    <col min="13816" max="13816" width="23.28515625" style="9" customWidth="1"/>
    <col min="13817" max="13826" width="23.28515625" style="9"/>
    <col min="13827" max="13827" width="13.140625" style="9" customWidth="1"/>
    <col min="13828" max="13828" width="58" style="9" customWidth="1"/>
    <col min="13829" max="13829" width="25" style="9" customWidth="1"/>
    <col min="13830" max="13830" width="20.7109375" style="9" customWidth="1"/>
    <col min="13831" max="13831" width="25" style="9" customWidth="1"/>
    <col min="13832" max="14066" width="9.140625" style="9" customWidth="1"/>
    <col min="14067" max="14067" width="6" style="9" customWidth="1"/>
    <col min="14068" max="14068" width="50.28515625" style="9" customWidth="1"/>
    <col min="14069" max="14070" width="0" style="9" hidden="1" customWidth="1"/>
    <col min="14071" max="14071" width="20.7109375" style="9" customWidth="1"/>
    <col min="14072" max="14072" width="23.28515625" style="9" customWidth="1"/>
    <col min="14073" max="14082" width="23.28515625" style="9"/>
    <col min="14083" max="14083" width="13.140625" style="9" customWidth="1"/>
    <col min="14084" max="14084" width="58" style="9" customWidth="1"/>
    <col min="14085" max="14085" width="25" style="9" customWidth="1"/>
    <col min="14086" max="14086" width="20.7109375" style="9" customWidth="1"/>
    <col min="14087" max="14087" width="25" style="9" customWidth="1"/>
    <col min="14088" max="14322" width="9.140625" style="9" customWidth="1"/>
    <col min="14323" max="14323" width="6" style="9" customWidth="1"/>
    <col min="14324" max="14324" width="50.28515625" style="9" customWidth="1"/>
    <col min="14325" max="14326" width="0" style="9" hidden="1" customWidth="1"/>
    <col min="14327" max="14327" width="20.7109375" style="9" customWidth="1"/>
    <col min="14328" max="14328" width="23.28515625" style="9" customWidth="1"/>
    <col min="14329" max="14338" width="23.28515625" style="9"/>
    <col min="14339" max="14339" width="13.140625" style="9" customWidth="1"/>
    <col min="14340" max="14340" width="58" style="9" customWidth="1"/>
    <col min="14341" max="14341" width="25" style="9" customWidth="1"/>
    <col min="14342" max="14342" width="20.7109375" style="9" customWidth="1"/>
    <col min="14343" max="14343" width="25" style="9" customWidth="1"/>
    <col min="14344" max="14578" width="9.140625" style="9" customWidth="1"/>
    <col min="14579" max="14579" width="6" style="9" customWidth="1"/>
    <col min="14580" max="14580" width="50.28515625" style="9" customWidth="1"/>
    <col min="14581" max="14582" width="0" style="9" hidden="1" customWidth="1"/>
    <col min="14583" max="14583" width="20.7109375" style="9" customWidth="1"/>
    <col min="14584" max="14584" width="23.28515625" style="9" customWidth="1"/>
    <col min="14585" max="14594" width="23.28515625" style="9"/>
    <col min="14595" max="14595" width="13.140625" style="9" customWidth="1"/>
    <col min="14596" max="14596" width="58" style="9" customWidth="1"/>
    <col min="14597" max="14597" width="25" style="9" customWidth="1"/>
    <col min="14598" max="14598" width="20.7109375" style="9" customWidth="1"/>
    <col min="14599" max="14599" width="25" style="9" customWidth="1"/>
    <col min="14600" max="14834" width="9.140625" style="9" customWidth="1"/>
    <col min="14835" max="14835" width="6" style="9" customWidth="1"/>
    <col min="14836" max="14836" width="50.28515625" style="9" customWidth="1"/>
    <col min="14837" max="14838" width="0" style="9" hidden="1" customWidth="1"/>
    <col min="14839" max="14839" width="20.7109375" style="9" customWidth="1"/>
    <col min="14840" max="14840" width="23.28515625" style="9" customWidth="1"/>
    <col min="14841" max="14850" width="23.28515625" style="9"/>
    <col min="14851" max="14851" width="13.140625" style="9" customWidth="1"/>
    <col min="14852" max="14852" width="58" style="9" customWidth="1"/>
    <col min="14853" max="14853" width="25" style="9" customWidth="1"/>
    <col min="14854" max="14854" width="20.7109375" style="9" customWidth="1"/>
    <col min="14855" max="14855" width="25" style="9" customWidth="1"/>
    <col min="14856" max="15090" width="9.140625" style="9" customWidth="1"/>
    <col min="15091" max="15091" width="6" style="9" customWidth="1"/>
    <col min="15092" max="15092" width="50.28515625" style="9" customWidth="1"/>
    <col min="15093" max="15094" width="0" style="9" hidden="1" customWidth="1"/>
    <col min="15095" max="15095" width="20.7109375" style="9" customWidth="1"/>
    <col min="15096" max="15096" width="23.28515625" style="9" customWidth="1"/>
    <col min="15097" max="15106" width="23.28515625" style="9"/>
    <col min="15107" max="15107" width="13.140625" style="9" customWidth="1"/>
    <col min="15108" max="15108" width="58" style="9" customWidth="1"/>
    <col min="15109" max="15109" width="25" style="9" customWidth="1"/>
    <col min="15110" max="15110" width="20.7109375" style="9" customWidth="1"/>
    <col min="15111" max="15111" width="25" style="9" customWidth="1"/>
    <col min="15112" max="15346" width="9.140625" style="9" customWidth="1"/>
    <col min="15347" max="15347" width="6" style="9" customWidth="1"/>
    <col min="15348" max="15348" width="50.28515625" style="9" customWidth="1"/>
    <col min="15349" max="15350" width="0" style="9" hidden="1" customWidth="1"/>
    <col min="15351" max="15351" width="20.7109375" style="9" customWidth="1"/>
    <col min="15352" max="15352" width="23.28515625" style="9" customWidth="1"/>
    <col min="15353" max="15362" width="23.28515625" style="9"/>
    <col min="15363" max="15363" width="13.140625" style="9" customWidth="1"/>
    <col min="15364" max="15364" width="58" style="9" customWidth="1"/>
    <col min="15365" max="15365" width="25" style="9" customWidth="1"/>
    <col min="15366" max="15366" width="20.7109375" style="9" customWidth="1"/>
    <col min="15367" max="15367" width="25" style="9" customWidth="1"/>
    <col min="15368" max="15602" width="9.140625" style="9" customWidth="1"/>
    <col min="15603" max="15603" width="6" style="9" customWidth="1"/>
    <col min="15604" max="15604" width="50.28515625" style="9" customWidth="1"/>
    <col min="15605" max="15606" width="0" style="9" hidden="1" customWidth="1"/>
    <col min="15607" max="15607" width="20.7109375" style="9" customWidth="1"/>
    <col min="15608" max="15608" width="23.28515625" style="9" customWidth="1"/>
    <col min="15609" max="15618" width="23.28515625" style="9"/>
    <col min="15619" max="15619" width="13.140625" style="9" customWidth="1"/>
    <col min="15620" max="15620" width="58" style="9" customWidth="1"/>
    <col min="15621" max="15621" width="25" style="9" customWidth="1"/>
    <col min="15622" max="15622" width="20.7109375" style="9" customWidth="1"/>
    <col min="15623" max="15623" width="25" style="9" customWidth="1"/>
    <col min="15624" max="15858" width="9.140625" style="9" customWidth="1"/>
    <col min="15859" max="15859" width="6" style="9" customWidth="1"/>
    <col min="15860" max="15860" width="50.28515625" style="9" customWidth="1"/>
    <col min="15861" max="15862" width="0" style="9" hidden="1" customWidth="1"/>
    <col min="15863" max="15863" width="20.7109375" style="9" customWidth="1"/>
    <col min="15864" max="15864" width="23.28515625" style="9" customWidth="1"/>
    <col min="15865" max="15874" width="23.28515625" style="9"/>
    <col min="15875" max="15875" width="13.140625" style="9" customWidth="1"/>
    <col min="15876" max="15876" width="58" style="9" customWidth="1"/>
    <col min="15877" max="15877" width="25" style="9" customWidth="1"/>
    <col min="15878" max="15878" width="20.7109375" style="9" customWidth="1"/>
    <col min="15879" max="15879" width="25" style="9" customWidth="1"/>
    <col min="15880" max="16114" width="9.140625" style="9" customWidth="1"/>
    <col min="16115" max="16115" width="6" style="9" customWidth="1"/>
    <col min="16116" max="16116" width="50.28515625" style="9" customWidth="1"/>
    <col min="16117" max="16118" width="0" style="9" hidden="1" customWidth="1"/>
    <col min="16119" max="16119" width="20.7109375" style="9" customWidth="1"/>
    <col min="16120" max="16120" width="23.28515625" style="9" customWidth="1"/>
    <col min="16121" max="16130" width="23.28515625" style="9"/>
    <col min="16131" max="16131" width="13.140625" style="9" customWidth="1"/>
    <col min="16132" max="16132" width="58" style="9" customWidth="1"/>
    <col min="16133" max="16133" width="25" style="9" customWidth="1"/>
    <col min="16134" max="16134" width="20.7109375" style="9" customWidth="1"/>
    <col min="16135" max="16135" width="25" style="9" customWidth="1"/>
    <col min="16136" max="16370" width="9.140625" style="9" customWidth="1"/>
    <col min="16371" max="16371" width="6" style="9" customWidth="1"/>
    <col min="16372" max="16372" width="50.28515625" style="9" customWidth="1"/>
    <col min="16373" max="16374" width="0" style="9" hidden="1" customWidth="1"/>
    <col min="16375" max="16375" width="20.7109375" style="9" customWidth="1"/>
    <col min="16376" max="16376" width="23.28515625" style="9" customWidth="1"/>
    <col min="16377" max="16384" width="23.28515625" style="9"/>
  </cols>
  <sheetData>
    <row r="1" spans="1:248" ht="15.75">
      <c r="A1" s="512" t="s">
        <v>105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ht="15.75">
      <c r="A2" s="512" t="s">
        <v>425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8" ht="15.75"/>
    <row r="4" spans="1:248" ht="21">
      <c r="A4" s="14" t="s">
        <v>106</v>
      </c>
      <c r="B4" s="15" t="s">
        <v>107</v>
      </c>
      <c r="C4" s="16">
        <v>2008</v>
      </c>
      <c r="D4" s="16">
        <v>2009</v>
      </c>
      <c r="E4" s="17">
        <v>2010</v>
      </c>
      <c r="F4" s="17">
        <v>2011</v>
      </c>
      <c r="G4" s="17">
        <v>2012</v>
      </c>
      <c r="H4" s="18" t="s">
        <v>108</v>
      </c>
      <c r="I4" s="17">
        <v>2013</v>
      </c>
      <c r="J4" s="17">
        <v>2014</v>
      </c>
      <c r="K4" s="292"/>
      <c r="M4" s="17">
        <v>2015</v>
      </c>
      <c r="N4" s="17">
        <v>2016</v>
      </c>
      <c r="O4" s="17">
        <v>2017</v>
      </c>
      <c r="P4" s="17">
        <v>2018</v>
      </c>
      <c r="Q4" s="8" t="s">
        <v>8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</row>
    <row r="5" spans="1:248" ht="15.75">
      <c r="A5" s="19" t="s">
        <v>109</v>
      </c>
      <c r="B5" s="20" t="s">
        <v>110</v>
      </c>
      <c r="C5" s="21">
        <f>C6+C11+C16</f>
        <v>576614217128</v>
      </c>
      <c r="D5" s="21">
        <f>D6+D11+D16</f>
        <v>623122779590</v>
      </c>
      <c r="E5" s="21">
        <f>E6+E11+E16</f>
        <v>675659734845</v>
      </c>
      <c r="F5" s="21">
        <f>F6+F11+F16</f>
        <v>823479890034</v>
      </c>
      <c r="G5" s="21">
        <f>G6+G11+G16</f>
        <v>966815573681</v>
      </c>
      <c r="H5" s="17">
        <v>13.94</v>
      </c>
      <c r="I5" s="21">
        <f>I6+I11+I16</f>
        <v>1039172438000</v>
      </c>
      <c r="J5" s="21">
        <f>J6+J11+J16</f>
        <v>1136305222000.3025</v>
      </c>
      <c r="K5" s="25">
        <f>+J5-I5</f>
        <v>97132784000.30249</v>
      </c>
      <c r="L5" s="282">
        <f>+K5/I5*100</f>
        <v>9.3471285850541861</v>
      </c>
      <c r="M5" s="283">
        <f>M6+M11+M16</f>
        <v>1248007531135.5481</v>
      </c>
      <c r="N5" s="283">
        <f>N6+N11+N16</f>
        <v>1317992594969.4731</v>
      </c>
      <c r="O5" s="283">
        <f>O6+O11+O16</f>
        <v>1383602905568.2253</v>
      </c>
      <c r="P5" s="283">
        <f>P6+P11+P16</f>
        <v>1464813082250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ht="15.75">
      <c r="A6" s="19" t="s">
        <v>111</v>
      </c>
      <c r="B6" s="20" t="s">
        <v>112</v>
      </c>
      <c r="C6" s="22">
        <f>SUM(C7:C10)</f>
        <v>37923898939</v>
      </c>
      <c r="D6" s="22">
        <f>SUM(D7:D10)</f>
        <v>47327328141</v>
      </c>
      <c r="E6" s="22">
        <f>SUM(E7:E10)</f>
        <v>55211017361</v>
      </c>
      <c r="F6" s="22">
        <f>SUM(F7:F10)</f>
        <v>63343494510</v>
      </c>
      <c r="G6" s="22">
        <f>SUM(G7:G10)</f>
        <v>78514689212</v>
      </c>
      <c r="H6" s="17">
        <v>20.03</v>
      </c>
      <c r="I6" s="22">
        <f>SUM(I7:I10)</f>
        <v>91966542000</v>
      </c>
      <c r="J6" s="22">
        <f>SUM(J7:J10)</f>
        <v>101922405000</v>
      </c>
      <c r="K6" s="25">
        <f>+J6-I6</f>
        <v>9955863000</v>
      </c>
      <c r="L6" s="282">
        <f>+K6/I6*100</f>
        <v>10.82552717922133</v>
      </c>
      <c r="M6" s="291">
        <f>SUM(M7:M10)</f>
        <v>121900487000</v>
      </c>
      <c r="N6" s="291">
        <f>SUM(N7:N10)</f>
        <v>127171160000</v>
      </c>
      <c r="O6" s="291">
        <f>SUM(O7:O10)</f>
        <v>115600114000</v>
      </c>
      <c r="P6" s="291">
        <f>SUM(P7:P10)</f>
        <v>121035621250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ht="15.75">
      <c r="A7" s="23" t="s">
        <v>113</v>
      </c>
      <c r="B7" s="24" t="s">
        <v>114</v>
      </c>
      <c r="C7" s="25">
        <v>5819499860</v>
      </c>
      <c r="D7" s="25">
        <v>6194993566</v>
      </c>
      <c r="E7" s="26">
        <v>7389439664</v>
      </c>
      <c r="F7" s="26">
        <v>11212597968</v>
      </c>
      <c r="G7" s="25">
        <v>11470230704</v>
      </c>
      <c r="H7" s="27">
        <v>19.940000000000001</v>
      </c>
      <c r="I7" s="25">
        <v>23826100000</v>
      </c>
      <c r="J7" s="25">
        <f>+'[1]RCN 2014 (3)'!K14</f>
        <v>25486000000</v>
      </c>
      <c r="K7" s="25">
        <f>+'[1]RCN 2014 (3)'!L14</f>
        <v>26769671000</v>
      </c>
      <c r="L7" s="25">
        <f>+'[1]RCN 2014 (3)'!M14</f>
        <v>27849314000</v>
      </c>
      <c r="M7" s="25">
        <f>+'Renacana pendapatan'!L14</f>
        <v>26769671000</v>
      </c>
      <c r="N7" s="25">
        <f>+'[1]RCN 2014 (3)'!M14</f>
        <v>27849314000</v>
      </c>
      <c r="O7" s="25">
        <f>+'[1]RCN 2014 (3)'!N14</f>
        <v>30234958000</v>
      </c>
      <c r="P7" s="25">
        <f>+'[1]RCN 2014 (3)'!O14</f>
        <v>31818635000</v>
      </c>
    </row>
    <row r="8" spans="1:248" ht="15.75">
      <c r="A8" s="28" t="s">
        <v>115</v>
      </c>
      <c r="B8" s="29" t="s">
        <v>116</v>
      </c>
      <c r="C8" s="30">
        <v>20067480541</v>
      </c>
      <c r="D8" s="30">
        <v>25974545346</v>
      </c>
      <c r="E8" s="31">
        <v>33365149779</v>
      </c>
      <c r="F8" s="31">
        <v>37984477775</v>
      </c>
      <c r="G8" s="30">
        <v>14038793022</v>
      </c>
      <c r="H8" s="32">
        <v>2.17</v>
      </c>
      <c r="I8" s="30">
        <v>14656229000</v>
      </c>
      <c r="J8" s="30">
        <f>+'[1]RCN 2014 (3)'!K29</f>
        <v>24845905000</v>
      </c>
      <c r="K8" s="30">
        <f>+J8-I8</f>
        <v>10189676000</v>
      </c>
      <c r="L8" s="495">
        <f>+K8/I8*100</f>
        <v>69.524541408298134</v>
      </c>
      <c r="M8" s="496">
        <f>+'Renacana pendapatan'!L29</f>
        <v>25077816000</v>
      </c>
      <c r="N8" s="501">
        <f>+'[1]RCN 2014 (3)'!M29</f>
        <v>25391186000</v>
      </c>
      <c r="O8" s="501">
        <f>+'[1]RCN 2014 (3)'!N29</f>
        <v>25752418000</v>
      </c>
      <c r="P8" s="497">
        <f>+'[1]RCN 2014 (3)'!O29</f>
        <v>26097229250</v>
      </c>
      <c r="Q8" s="290" t="s">
        <v>424</v>
      </c>
    </row>
    <row r="9" spans="1:248" ht="15.75">
      <c r="A9" s="28" t="s">
        <v>117</v>
      </c>
      <c r="B9" s="29" t="s">
        <v>118</v>
      </c>
      <c r="C9" s="30">
        <v>3082405844</v>
      </c>
      <c r="D9" s="30">
        <v>3878614576</v>
      </c>
      <c r="E9" s="31">
        <v>5402385086</v>
      </c>
      <c r="F9" s="31">
        <v>6682535195</v>
      </c>
      <c r="G9" s="30">
        <v>9555591771</v>
      </c>
      <c r="H9" s="32">
        <v>32.950000000000003</v>
      </c>
      <c r="I9" s="30">
        <v>10831063000</v>
      </c>
      <c r="J9" s="30">
        <f>+'[1]RCN 2014 (3)'!K108</f>
        <v>9640000000</v>
      </c>
      <c r="K9" s="30">
        <f>+J9-I9</f>
        <v>-1191063000</v>
      </c>
      <c r="L9" s="495">
        <f>+K9/I9*100</f>
        <v>-10.996732269030288</v>
      </c>
      <c r="M9" s="496">
        <f>+'Renacana pendapatan'!L108</f>
        <v>10604000000</v>
      </c>
      <c r="N9" s="501">
        <f>+'[1]RCN 2014 (3)'!M108</f>
        <v>12748899999.999998</v>
      </c>
      <c r="O9" s="501">
        <f>+'[1]RCN 2014 (3)'!N108</f>
        <v>14661234999.999996</v>
      </c>
      <c r="P9" s="497">
        <f>+'[1]RCN 2014 (3)'!O108</f>
        <v>16860417999.999996</v>
      </c>
    </row>
    <row r="10" spans="1:248" ht="15.75">
      <c r="A10" s="33" t="s">
        <v>119</v>
      </c>
      <c r="B10" s="34" t="s">
        <v>120</v>
      </c>
      <c r="C10" s="35">
        <v>8954512694</v>
      </c>
      <c r="D10" s="35">
        <v>11279174653</v>
      </c>
      <c r="E10" s="36">
        <v>9054042832</v>
      </c>
      <c r="F10" s="36">
        <v>7463883572</v>
      </c>
      <c r="G10" s="35">
        <v>43450073715</v>
      </c>
      <c r="H10" s="37">
        <v>117.7</v>
      </c>
      <c r="I10" s="35">
        <v>42653150000</v>
      </c>
      <c r="J10" s="35">
        <f>+'[1]RCN 2014 (3)'!K120</f>
        <v>41950500000</v>
      </c>
      <c r="K10" s="35">
        <f>+J10-I10</f>
        <v>-702650000</v>
      </c>
      <c r="L10" s="498">
        <f>+K10/I10*100</f>
        <v>-1.6473578153078965</v>
      </c>
      <c r="M10" s="500">
        <f>+'Renacana pendapatan'!L120</f>
        <v>59449000000</v>
      </c>
      <c r="N10" s="502">
        <f>+'[1]RCN 2014 (3)'!M120</f>
        <v>61181760000</v>
      </c>
      <c r="O10" s="502">
        <f>+'[1]RCN 2014 (3)'!N120</f>
        <v>44951503000</v>
      </c>
      <c r="P10" s="499">
        <f>+'[1]RCN 2014 (3)'!O120</f>
        <v>46259339000</v>
      </c>
    </row>
    <row r="11" spans="1:248" ht="15.75">
      <c r="A11" s="19" t="s">
        <v>121</v>
      </c>
      <c r="B11" s="20" t="s">
        <v>122</v>
      </c>
      <c r="C11" s="21">
        <f>SUM(C12:C14)</f>
        <v>497563580868</v>
      </c>
      <c r="D11" s="21">
        <f>SUM(D12:D14)</f>
        <v>515228881135</v>
      </c>
      <c r="E11" s="38">
        <f>SUM(E12:E14)</f>
        <v>522185893892</v>
      </c>
      <c r="F11" s="21">
        <f>SUM(F12:F14)</f>
        <v>574917319097</v>
      </c>
      <c r="G11" s="21">
        <f>SUM(G12:G14)</f>
        <v>707239144911</v>
      </c>
      <c r="H11" s="39">
        <v>9.5</v>
      </c>
      <c r="I11" s="21">
        <f>SUM(I12:I14)</f>
        <v>749673444000</v>
      </c>
      <c r="J11" s="21">
        <f t="shared" ref="J11:P11" si="0">SUM(J12:J15)</f>
        <v>814110167000.30249</v>
      </c>
      <c r="K11" s="21">
        <f t="shared" si="0"/>
        <v>64436723000.302536</v>
      </c>
      <c r="L11" s="21">
        <f t="shared" si="0"/>
        <v>118.41164832143301</v>
      </c>
      <c r="M11" s="21">
        <f t="shared" si="0"/>
        <v>901921744135.5481</v>
      </c>
      <c r="N11" s="21">
        <f t="shared" si="0"/>
        <v>966067045969.47302</v>
      </c>
      <c r="O11" s="21">
        <f t="shared" si="0"/>
        <v>1042030625568.2253</v>
      </c>
      <c r="P11" s="21">
        <f t="shared" si="0"/>
        <v>1116553844000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</row>
    <row r="12" spans="1:248" ht="15.75">
      <c r="A12" s="23" t="s">
        <v>123</v>
      </c>
      <c r="B12" s="24" t="s">
        <v>124</v>
      </c>
      <c r="C12" s="25">
        <v>28359251868</v>
      </c>
      <c r="D12" s="25">
        <v>33774574135</v>
      </c>
      <c r="E12" s="26">
        <v>37300870892</v>
      </c>
      <c r="F12" s="26">
        <v>34945207097</v>
      </c>
      <c r="G12" s="25">
        <v>35777146911</v>
      </c>
      <c r="H12" s="40">
        <v>6.4</v>
      </c>
      <c r="I12" s="25">
        <v>51843530000</v>
      </c>
      <c r="J12" s="25">
        <f>+'[1]RCN 2014 (3)'!K148</f>
        <v>45642604000.302536</v>
      </c>
      <c r="K12" s="25">
        <f t="shared" ref="K12:K20" si="1">+J12-I12</f>
        <v>-6200925999.697464</v>
      </c>
      <c r="L12" s="282">
        <f>+K12/I12*100</f>
        <v>-11.960848344426902</v>
      </c>
      <c r="M12" s="503">
        <f>+'Renacana pendapatan'!L148</f>
        <v>53760500000</v>
      </c>
      <c r="N12" s="503">
        <f>+'[1]RCN 2014 (3)'!M148</f>
        <v>54486500000</v>
      </c>
      <c r="O12" s="503">
        <f>+'[1]RCN 2014 (3)'!N148</f>
        <v>55202500000</v>
      </c>
      <c r="P12" s="503">
        <f>+'[1]RCN 2014 (3)'!O148</f>
        <v>56119500000</v>
      </c>
    </row>
    <row r="13" spans="1:248" ht="15.75">
      <c r="A13" s="28" t="s">
        <v>125</v>
      </c>
      <c r="B13" s="29" t="s">
        <v>126</v>
      </c>
      <c r="C13" s="30">
        <v>421056329000</v>
      </c>
      <c r="D13" s="30">
        <v>430269307000</v>
      </c>
      <c r="E13" s="31">
        <v>438090923000</v>
      </c>
      <c r="F13" s="31">
        <v>482937812000</v>
      </c>
      <c r="G13" s="30">
        <v>584158278000</v>
      </c>
      <c r="H13" s="41">
        <v>8.8000000000000007</v>
      </c>
      <c r="I13" s="30">
        <v>651171674000</v>
      </c>
      <c r="J13" s="30">
        <v>708764753000</v>
      </c>
      <c r="K13" s="30">
        <f t="shared" si="1"/>
        <v>57593079000</v>
      </c>
      <c r="L13" s="495">
        <f>+K13/I13*100</f>
        <v>8.8445307588732742</v>
      </c>
      <c r="M13" s="504">
        <f>+[3]Sheet1!$I$15</f>
        <v>765757350135.5481</v>
      </c>
      <c r="N13" s="504">
        <f>+[3]Sheet1!$I$16</f>
        <v>827424534969.47302</v>
      </c>
      <c r="O13" s="504">
        <f>+[3]Sheet1!$I$17</f>
        <v>897867434568.22534</v>
      </c>
      <c r="P13" s="504">
        <v>969614832000</v>
      </c>
      <c r="Q13" s="289"/>
    </row>
    <row r="14" spans="1:248" ht="15.75">
      <c r="A14" s="28" t="s">
        <v>127</v>
      </c>
      <c r="B14" s="29" t="s">
        <v>128</v>
      </c>
      <c r="C14" s="35">
        <v>48148000000</v>
      </c>
      <c r="D14" s="35">
        <v>51185000000</v>
      </c>
      <c r="E14" s="36">
        <v>46794100000</v>
      </c>
      <c r="F14" s="36">
        <v>57034300000</v>
      </c>
      <c r="G14" s="35">
        <v>87303720000</v>
      </c>
      <c r="H14" s="42">
        <v>18.170000000000002</v>
      </c>
      <c r="I14" s="35">
        <v>46658240000</v>
      </c>
      <c r="J14" s="30">
        <v>56702810000</v>
      </c>
      <c r="K14" s="30">
        <f t="shared" si="1"/>
        <v>10044570000</v>
      </c>
      <c r="L14" s="495">
        <f>+K14/I14*100</f>
        <v>21.527965906986633</v>
      </c>
      <c r="M14" s="504">
        <v>79403894000</v>
      </c>
      <c r="N14" s="504">
        <v>81156011000</v>
      </c>
      <c r="O14" s="504">
        <v>85960691000</v>
      </c>
      <c r="P14" s="504">
        <v>87819512000</v>
      </c>
    </row>
    <row r="15" spans="1:248" ht="15.75">
      <c r="A15" s="33"/>
      <c r="B15" s="34" t="s">
        <v>423</v>
      </c>
      <c r="C15" s="284"/>
      <c r="D15" s="284"/>
      <c r="E15" s="286"/>
      <c r="F15" s="286"/>
      <c r="G15" s="284"/>
      <c r="H15" s="285"/>
      <c r="I15" s="284"/>
      <c r="J15" s="35">
        <v>3000000000</v>
      </c>
      <c r="K15" s="35">
        <f t="shared" si="1"/>
        <v>3000000000</v>
      </c>
      <c r="L15" s="498">
        <v>100</v>
      </c>
      <c r="M15" s="505">
        <f>+K15</f>
        <v>3000000000</v>
      </c>
      <c r="N15" s="505">
        <f>+M15</f>
        <v>3000000000</v>
      </c>
      <c r="O15" s="505">
        <f>+N15</f>
        <v>3000000000</v>
      </c>
      <c r="P15" s="505">
        <f>+O15</f>
        <v>3000000000</v>
      </c>
    </row>
    <row r="16" spans="1:248" ht="15.75">
      <c r="A16" s="19" t="s">
        <v>129</v>
      </c>
      <c r="B16" s="20" t="s">
        <v>130</v>
      </c>
      <c r="C16" s="21">
        <f>SUM(C17:C20)</f>
        <v>41126737321</v>
      </c>
      <c r="D16" s="21">
        <f>SUM(D17:D20)</f>
        <v>60566570314</v>
      </c>
      <c r="E16" s="38">
        <f>SUM(E17:E20)</f>
        <v>98262823592</v>
      </c>
      <c r="F16" s="21">
        <f>SUM(F17:F20)</f>
        <v>185219076427</v>
      </c>
      <c r="G16" s="21">
        <f>SUM(G17:G20)</f>
        <v>181061739558</v>
      </c>
      <c r="H16" s="39">
        <v>48.94</v>
      </c>
      <c r="I16" s="21">
        <f>SUM(I17:I20)</f>
        <v>197532452000</v>
      </c>
      <c r="J16" s="21">
        <f>SUM(J17:J20)</f>
        <v>220272650000</v>
      </c>
      <c r="K16" s="25">
        <f t="shared" si="1"/>
        <v>22740198000</v>
      </c>
      <c r="L16" s="282">
        <f>+K16/I16*100</f>
        <v>11.512132700099324</v>
      </c>
      <c r="M16" s="283">
        <f>SUM(M17:M20)</f>
        <v>224185300000</v>
      </c>
      <c r="N16" s="283">
        <f>SUM(N17:N20)</f>
        <v>224754389000</v>
      </c>
      <c r="O16" s="283">
        <f>SUM(O17:O20)</f>
        <v>225972166000</v>
      </c>
      <c r="P16" s="283">
        <f>SUM(P17:P20)</f>
        <v>227223617000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16" s="9" customFormat="1" ht="15">
      <c r="A17" s="23" t="s">
        <v>131</v>
      </c>
      <c r="B17" s="24" t="s">
        <v>132</v>
      </c>
      <c r="C17" s="25">
        <v>486231000</v>
      </c>
      <c r="D17" s="26">
        <v>3450101848</v>
      </c>
      <c r="E17" s="26">
        <v>2807704666</v>
      </c>
      <c r="F17" s="26">
        <v>696060800</v>
      </c>
      <c r="G17" s="25">
        <v>145820000</v>
      </c>
      <c r="H17" s="40">
        <v>109.17</v>
      </c>
      <c r="I17" s="25">
        <v>1051910000</v>
      </c>
      <c r="J17" s="25">
        <f>+'[1]RCN 2014 (3)'!K168</f>
        <v>616150000</v>
      </c>
      <c r="K17" s="25">
        <f t="shared" si="1"/>
        <v>-435760000</v>
      </c>
      <c r="L17" s="282">
        <f>+K17/I17*100</f>
        <v>-41.425597246912758</v>
      </c>
      <c r="M17" s="506">
        <f>+'[1]RCN 2014 (3)'!L168</f>
        <v>616150000</v>
      </c>
      <c r="N17" s="507">
        <f>+'[1]RCN 2014 (3)'!M168</f>
        <v>0</v>
      </c>
      <c r="O17" s="507">
        <f>+'[1]RCN 2014 (3)'!N168</f>
        <v>0</v>
      </c>
      <c r="P17" s="507">
        <f>+'[1]RCN 2014 (3)'!O168</f>
        <v>0</v>
      </c>
    </row>
    <row r="18" spans="1:16" s="9" customFormat="1" ht="15">
      <c r="A18" s="28" t="s">
        <v>133</v>
      </c>
      <c r="B18" s="29" t="s">
        <v>134</v>
      </c>
      <c r="C18" s="30">
        <v>20870379396</v>
      </c>
      <c r="D18" s="31">
        <v>33186737016</v>
      </c>
      <c r="E18" s="31">
        <v>37428136126</v>
      </c>
      <c r="F18" s="31">
        <v>43614720307</v>
      </c>
      <c r="G18" s="30">
        <v>60284458558</v>
      </c>
      <c r="H18" s="41">
        <v>31.64</v>
      </c>
      <c r="I18" s="30">
        <v>31916581000</v>
      </c>
      <c r="J18" s="30">
        <f>+'[1]RCN 2014 (3)'!K171</f>
        <v>43662000000</v>
      </c>
      <c r="K18" s="30">
        <f t="shared" si="1"/>
        <v>11745419000</v>
      </c>
      <c r="L18" s="495">
        <f>+K18/I18*100</f>
        <v>36.800367182186591</v>
      </c>
      <c r="M18" s="504">
        <f>+'[1]RCN 2014 (3)'!L172</f>
        <v>44815750000</v>
      </c>
      <c r="N18" s="504">
        <f>+'[1]RCN 2014 (3)'!M172</f>
        <v>46000988999.999992</v>
      </c>
      <c r="O18" s="504">
        <f>+'[1]RCN 2014 (3)'!N172</f>
        <v>47218765999.999985</v>
      </c>
      <c r="P18" s="504">
        <f>+'[1]RCN 2014 (3)'!O172</f>
        <v>48470216999.999985</v>
      </c>
    </row>
    <row r="19" spans="1:16" s="9" customFormat="1" ht="15">
      <c r="A19" s="28" t="s">
        <v>135</v>
      </c>
      <c r="B19" s="29" t="s">
        <v>136</v>
      </c>
      <c r="C19" s="30">
        <v>6026638800</v>
      </c>
      <c r="D19" s="31">
        <v>12207750000</v>
      </c>
      <c r="E19" s="31">
        <v>42742778800</v>
      </c>
      <c r="F19" s="31">
        <v>122342105320</v>
      </c>
      <c r="G19" s="30">
        <v>99581821000</v>
      </c>
      <c r="H19" s="41">
        <v>130.08000000000001</v>
      </c>
      <c r="I19" s="30">
        <v>136253400000</v>
      </c>
      <c r="J19" s="30">
        <f>+'[1]RCN 2014 (3)'!K184</f>
        <v>136253400000</v>
      </c>
      <c r="K19" s="30">
        <f t="shared" si="1"/>
        <v>0</v>
      </c>
      <c r="L19" s="495">
        <f>+K19/I19*100</f>
        <v>0</v>
      </c>
      <c r="M19" s="504">
        <f>+'[1]RCN 2014 (3)'!L184</f>
        <v>136253400000</v>
      </c>
      <c r="N19" s="504">
        <f>+'[1]RCN 2014 (3)'!L184</f>
        <v>136253400000</v>
      </c>
      <c r="O19" s="504">
        <f>+'[1]RCN 2014 (3)'!N184</f>
        <v>136253400000</v>
      </c>
      <c r="P19" s="504">
        <f>+'[1]RCN 2014 (3)'!O184</f>
        <v>136253400000</v>
      </c>
    </row>
    <row r="20" spans="1:16" s="9" customFormat="1" ht="15">
      <c r="A20" s="33" t="s">
        <v>137</v>
      </c>
      <c r="B20" s="34" t="s">
        <v>138</v>
      </c>
      <c r="C20" s="35">
        <v>13743488125</v>
      </c>
      <c r="D20" s="36">
        <v>11721981450</v>
      </c>
      <c r="E20" s="36">
        <v>15284204000</v>
      </c>
      <c r="F20" s="36">
        <v>18566190000</v>
      </c>
      <c r="G20" s="35">
        <v>21049640000</v>
      </c>
      <c r="H20" s="42">
        <v>12.63</v>
      </c>
      <c r="I20" s="35">
        <v>28310561000</v>
      </c>
      <c r="J20" s="35">
        <f>+'[1]RCN 2014 (3)'!K187</f>
        <v>39741100000</v>
      </c>
      <c r="K20" s="35">
        <f t="shared" si="1"/>
        <v>11430539000</v>
      </c>
      <c r="L20" s="498">
        <f>+K20/I20*100</f>
        <v>40.37552982436484</v>
      </c>
      <c r="M20" s="502">
        <f>+'[1]RCN 2014 (3)'!L189</f>
        <v>42500000000</v>
      </c>
      <c r="N20" s="502">
        <f>+'[1]RCN 2014 (3)'!M189</f>
        <v>42500000000</v>
      </c>
      <c r="O20" s="502">
        <f>+'[1]RCN 2014 (3)'!N188</f>
        <v>42500000000</v>
      </c>
      <c r="P20" s="502">
        <f>+'[1]RCN 2014 (3)'!O188</f>
        <v>42500000000</v>
      </c>
    </row>
    <row r="21" spans="1:16" s="9" customFormat="1" ht="15.75">
      <c r="A21" s="43"/>
      <c r="B21" s="44"/>
      <c r="C21" s="12"/>
      <c r="D21" s="12"/>
      <c r="E21" s="13"/>
      <c r="F21" s="13"/>
      <c r="G21" s="13"/>
      <c r="H21" s="13"/>
      <c r="I21" s="13"/>
      <c r="J21" s="13"/>
      <c r="K21" s="277"/>
      <c r="L21" s="276"/>
      <c r="M21" s="13"/>
      <c r="N21" s="13"/>
      <c r="O21" s="13"/>
      <c r="P21" s="13"/>
    </row>
    <row r="22" spans="1:16" s="13" customFormat="1" ht="20.100000000000001" customHeight="1">
      <c r="A22" s="10"/>
      <c r="B22" s="11"/>
      <c r="C22" s="12"/>
      <c r="D22" s="12"/>
      <c r="G22" s="279"/>
      <c r="H22" s="281"/>
      <c r="I22" s="279"/>
      <c r="J22" s="279"/>
      <c r="K22" s="277"/>
      <c r="L22" s="276"/>
    </row>
    <row r="23" spans="1:16" s="13" customFormat="1" ht="20.100000000000001" customHeight="1">
      <c r="A23" s="10"/>
      <c r="B23" s="11"/>
      <c r="C23" s="12"/>
      <c r="D23" s="12"/>
      <c r="G23" s="279"/>
      <c r="H23" s="280">
        <f>+I20-G20</f>
        <v>7260921000</v>
      </c>
      <c r="I23" s="279"/>
      <c r="J23" s="279"/>
      <c r="K23" s="277"/>
      <c r="L23" s="276"/>
    </row>
    <row r="24" spans="1:16" s="13" customFormat="1" ht="20.100000000000001" customHeight="1">
      <c r="A24" s="10"/>
      <c r="B24" s="11"/>
      <c r="C24" s="12"/>
      <c r="D24" s="12"/>
      <c r="E24" s="46"/>
      <c r="F24" s="46"/>
      <c r="G24" s="47"/>
      <c r="H24" s="278">
        <f>+H23/G20*100</f>
        <v>34.494276386674542</v>
      </c>
      <c r="I24" s="47"/>
      <c r="J24" s="47"/>
      <c r="K24" s="277"/>
      <c r="L24" s="276"/>
    </row>
    <row r="25" spans="1:16" s="13" customFormat="1" ht="20.100000000000001" customHeight="1">
      <c r="A25" s="10"/>
      <c r="B25" s="11"/>
      <c r="C25" s="48"/>
      <c r="D25" s="48"/>
      <c r="E25" s="47"/>
      <c r="F25" s="47"/>
      <c r="G25" s="45">
        <v>20000000</v>
      </c>
      <c r="I25" s="45">
        <v>20000000</v>
      </c>
      <c r="J25" s="45">
        <v>20000000</v>
      </c>
      <c r="K25" s="277"/>
      <c r="L25" s="276"/>
    </row>
    <row r="26" spans="1:16" s="13" customFormat="1" ht="20.100000000000001" customHeight="1">
      <c r="A26" s="10"/>
      <c r="B26" s="11"/>
      <c r="C26" s="48"/>
      <c r="D26" s="48"/>
      <c r="E26" s="47"/>
      <c r="F26" s="47"/>
      <c r="G26" s="45">
        <v>15000000</v>
      </c>
      <c r="I26" s="45">
        <v>15000000</v>
      </c>
      <c r="J26" s="45">
        <v>15000000</v>
      </c>
      <c r="K26" s="277"/>
      <c r="L26" s="276"/>
    </row>
    <row r="27" spans="1:16" s="13" customFormat="1" ht="20.100000000000001" customHeight="1">
      <c r="A27" s="10"/>
      <c r="B27" s="11"/>
      <c r="C27" s="48" t="s">
        <v>139</v>
      </c>
      <c r="D27" s="48"/>
      <c r="E27" s="47"/>
      <c r="F27" s="47"/>
      <c r="G27" s="45">
        <v>25000000</v>
      </c>
      <c r="I27" s="45">
        <v>25000000</v>
      </c>
      <c r="J27" s="45">
        <v>25000000</v>
      </c>
      <c r="K27" s="277"/>
      <c r="L27" s="276"/>
    </row>
    <row r="28" spans="1:16" s="13" customFormat="1" ht="20.100000000000001" customHeight="1">
      <c r="A28" s="10"/>
      <c r="B28" s="11"/>
      <c r="C28" s="48"/>
      <c r="D28" s="48"/>
      <c r="E28" s="45"/>
      <c r="F28" s="45"/>
      <c r="G28" s="47"/>
      <c r="I28" s="47"/>
      <c r="J28" s="47"/>
      <c r="K28" s="277"/>
      <c r="L28" s="276"/>
    </row>
    <row r="29" spans="1:16" s="13" customFormat="1" ht="20.100000000000001" customHeight="1">
      <c r="A29" s="10"/>
      <c r="B29" s="11"/>
      <c r="C29" s="48"/>
      <c r="D29" s="48"/>
      <c r="E29" s="45">
        <f>SUM(E22:E28)</f>
        <v>0</v>
      </c>
      <c r="F29" s="45"/>
      <c r="G29" s="45">
        <f>SUM(G22:G28)</f>
        <v>60000000</v>
      </c>
      <c r="I29" s="45">
        <f>SUM(I22:I28)</f>
        <v>60000000</v>
      </c>
      <c r="J29" s="45">
        <f>SUM(J22:J28)</f>
        <v>60000000</v>
      </c>
      <c r="K29" s="277"/>
      <c r="L29" s="276"/>
    </row>
    <row r="30" spans="1:16" s="13" customFormat="1" ht="20.100000000000001" customHeight="1">
      <c r="A30" s="10"/>
      <c r="B30" s="11"/>
      <c r="C30" s="48"/>
      <c r="D30" s="48"/>
      <c r="E30" s="47"/>
      <c r="F30" s="47"/>
      <c r="G30" s="47"/>
      <c r="I30" s="47"/>
      <c r="J30" s="47"/>
      <c r="K30" s="277"/>
      <c r="L30" s="276"/>
    </row>
    <row r="31" spans="1:16" s="13" customFormat="1" ht="20.100000000000001" customHeight="1">
      <c r="A31" s="10"/>
      <c r="B31" s="11"/>
      <c r="C31" s="48"/>
      <c r="D31" s="48"/>
      <c r="E31" s="511">
        <f>G29+E29</f>
        <v>60000000</v>
      </c>
      <c r="F31" s="511"/>
      <c r="G31" s="511"/>
      <c r="K31" s="277"/>
      <c r="L31" s="276"/>
    </row>
    <row r="32" spans="1:16" s="13" customFormat="1" ht="20.100000000000001" customHeight="1">
      <c r="A32" s="10"/>
      <c r="B32" s="11"/>
      <c r="C32" s="48"/>
      <c r="D32" s="48"/>
      <c r="E32" s="47"/>
      <c r="F32" s="47"/>
      <c r="G32" s="47"/>
      <c r="I32" s="47"/>
      <c r="J32" s="47"/>
      <c r="K32" s="277"/>
      <c r="L32" s="276"/>
    </row>
    <row r="33" spans="1:12" s="13" customFormat="1" ht="20.100000000000001" customHeight="1">
      <c r="A33" s="10"/>
      <c r="B33" s="11"/>
      <c r="C33" s="48"/>
      <c r="D33" s="48"/>
      <c r="E33" s="47"/>
      <c r="F33" s="47"/>
      <c r="G33" s="47"/>
      <c r="I33" s="47"/>
      <c r="J33" s="47"/>
      <c r="K33" s="277"/>
      <c r="L33" s="276"/>
    </row>
  </sheetData>
  <mergeCells count="3">
    <mergeCell ref="E31:G31"/>
    <mergeCell ref="A1:P1"/>
    <mergeCell ref="A2:P2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C2:I31"/>
  <sheetViews>
    <sheetView topLeftCell="C2" zoomScale="95" zoomScaleNormal="95" workbookViewId="0">
      <pane xSplit="1" ySplit="1" topLeftCell="D3" activePane="bottomRight" state="frozen"/>
      <selection activeCell="C2" sqref="C2"/>
      <selection pane="topRight" activeCell="D2" sqref="D2"/>
      <selection pane="bottomLeft" activeCell="C3" sqref="C3"/>
      <selection pane="bottomRight" activeCell="D22" sqref="D22"/>
    </sheetView>
  </sheetViews>
  <sheetFormatPr defaultRowHeight="15"/>
  <cols>
    <col min="3" max="3" width="25" customWidth="1"/>
    <col min="4" max="8" width="21.28515625" style="1" customWidth="1"/>
  </cols>
  <sheetData>
    <row r="2" spans="3:9">
      <c r="D2" s="5">
        <v>2014</v>
      </c>
      <c r="E2" s="5" t="s">
        <v>426</v>
      </c>
      <c r="F2" s="5" t="s">
        <v>427</v>
      </c>
      <c r="G2" s="5" t="s">
        <v>428</v>
      </c>
      <c r="H2" s="5" t="s">
        <v>429</v>
      </c>
      <c r="I2" s="293"/>
    </row>
    <row r="3" spans="3:9">
      <c r="D3" s="4"/>
      <c r="E3" s="4"/>
      <c r="F3" s="4"/>
      <c r="G3" s="4"/>
      <c r="H3" s="4"/>
      <c r="I3" s="293"/>
    </row>
    <row r="4" spans="3:9">
      <c r="C4" t="s">
        <v>430</v>
      </c>
      <c r="D4" s="3"/>
      <c r="E4" s="3"/>
      <c r="F4" s="3"/>
      <c r="G4" s="3"/>
      <c r="H4" s="3"/>
    </row>
    <row r="6" spans="3:9">
      <c r="C6" t="s">
        <v>431</v>
      </c>
      <c r="D6" s="3">
        <v>479000000000</v>
      </c>
      <c r="E6" s="3">
        <f>+D6*1.0825</f>
        <v>518517500000</v>
      </c>
      <c r="F6" s="3">
        <f>+E6*1.0825</f>
        <v>561295193750</v>
      </c>
      <c r="G6" s="3">
        <f>+F6*1.0825</f>
        <v>607602047234.375</v>
      </c>
      <c r="H6" s="3">
        <f>+G6*1.085</f>
        <v>659248221249.29687</v>
      </c>
    </row>
    <row r="7" spans="3:9">
      <c r="C7" t="s">
        <v>432</v>
      </c>
      <c r="D7" s="3">
        <f>2100000000+11500000000</f>
        <v>13600000000</v>
      </c>
      <c r="E7" s="3">
        <f t="shared" ref="E7:H7" si="0">2100000000+11500000000</f>
        <v>13600000000</v>
      </c>
      <c r="F7" s="3">
        <f t="shared" si="0"/>
        <v>13600000000</v>
      </c>
      <c r="G7" s="3">
        <f t="shared" si="0"/>
        <v>13600000000</v>
      </c>
      <c r="H7" s="3">
        <f t="shared" si="0"/>
        <v>13600000000</v>
      </c>
    </row>
    <row r="8" spans="3:9">
      <c r="C8" t="s">
        <v>433</v>
      </c>
      <c r="D8" s="3">
        <v>565000000</v>
      </c>
      <c r="E8" s="3">
        <v>565000000</v>
      </c>
      <c r="F8" s="3">
        <v>565000000</v>
      </c>
      <c r="G8" s="3">
        <v>565000000</v>
      </c>
      <c r="H8" s="3">
        <v>565000000</v>
      </c>
      <c r="I8" s="3" t="s">
        <v>8</v>
      </c>
    </row>
    <row r="9" spans="3:9">
      <c r="C9" t="s">
        <v>434</v>
      </c>
      <c r="D9" s="3">
        <f>+'Pro-Pdpt'!J19</f>
        <v>136253400000</v>
      </c>
      <c r="E9" s="3">
        <f>+'Pro-Pdpt'!N19</f>
        <v>136253400000</v>
      </c>
      <c r="F9" s="3">
        <f>+'Pro-Pdpt'!O19</f>
        <v>136253400000</v>
      </c>
      <c r="G9" s="3">
        <f>+'Pro-Pdpt'!M19</f>
        <v>136253400000</v>
      </c>
      <c r="H9" s="3">
        <f>+'Pro-Pdpt'!P19</f>
        <v>136253400000</v>
      </c>
    </row>
    <row r="10" spans="3:9">
      <c r="C10" t="s">
        <v>435</v>
      </c>
      <c r="D10" s="3">
        <f>0.05*48000000000</f>
        <v>2400000000</v>
      </c>
      <c r="E10" s="3">
        <f>0.05*51000000000</f>
        <v>2550000000</v>
      </c>
      <c r="F10" s="3">
        <f>0.05*53000000000</f>
        <v>2650000000</v>
      </c>
      <c r="G10" s="3">
        <f>0.05*55000000000</f>
        <v>2750000000</v>
      </c>
      <c r="H10" s="3">
        <f>0.05*57000000000</f>
        <v>2850000000</v>
      </c>
    </row>
    <row r="11" spans="3:9">
      <c r="C11" t="s">
        <v>436</v>
      </c>
      <c r="D11" s="3"/>
      <c r="E11" s="3">
        <v>25000000000</v>
      </c>
      <c r="F11" s="3">
        <v>25000000000</v>
      </c>
      <c r="G11" s="3">
        <v>25000000000</v>
      </c>
      <c r="H11" s="3">
        <v>25000000000</v>
      </c>
    </row>
    <row r="12" spans="3:9">
      <c r="D12" s="3"/>
      <c r="E12" s="3"/>
      <c r="F12" s="3"/>
      <c r="G12" s="3"/>
      <c r="H12" s="3"/>
    </row>
    <row r="13" spans="3:9">
      <c r="C13" t="s">
        <v>437</v>
      </c>
      <c r="D13" s="3">
        <f>SUM(D6:D10)</f>
        <v>631818400000</v>
      </c>
      <c r="E13" s="3">
        <f>SUM(E6:E11)</f>
        <v>696485900000</v>
      </c>
      <c r="F13" s="3">
        <f>SUM(F6:F11)+250</f>
        <v>739363594000</v>
      </c>
      <c r="G13" s="3">
        <f>SUM(G6:G11)-234</f>
        <v>785770447000.375</v>
      </c>
      <c r="H13" s="3">
        <f>SUM(H6:H11)-249</f>
        <v>837516621000.29687</v>
      </c>
    </row>
    <row r="14" spans="3:9">
      <c r="D14" s="3"/>
      <c r="E14" s="3"/>
      <c r="F14" s="3"/>
      <c r="G14" s="3"/>
      <c r="H14" s="3"/>
    </row>
    <row r="15" spans="3:9">
      <c r="C15" t="s">
        <v>438</v>
      </c>
      <c r="D15" s="3">
        <f>12.5/100*D20</f>
        <v>7087851250</v>
      </c>
      <c r="E15" s="3">
        <f>12.5/100*E20</f>
        <v>9925486750</v>
      </c>
      <c r="F15" s="3">
        <f>12.5/100*F20</f>
        <v>10144501375</v>
      </c>
      <c r="G15" s="3">
        <f>12.5/100*G20</f>
        <v>10745086375</v>
      </c>
      <c r="H15" s="3">
        <f>12.5/100*H20</f>
        <v>10977439000</v>
      </c>
    </row>
    <row r="16" spans="3:9">
      <c r="C16" t="s">
        <v>380</v>
      </c>
      <c r="D16" s="3">
        <v>3000000000</v>
      </c>
      <c r="E16" s="3">
        <v>3000000000</v>
      </c>
      <c r="F16" s="3">
        <v>3000000000</v>
      </c>
      <c r="G16" s="3">
        <v>3000000000</v>
      </c>
      <c r="H16" s="3">
        <v>3000000000</v>
      </c>
    </row>
    <row r="17" spans="3:8">
      <c r="D17" s="3"/>
      <c r="E17" s="3"/>
      <c r="F17" s="3"/>
      <c r="G17" s="3"/>
      <c r="H17" s="3"/>
    </row>
    <row r="18" spans="3:8">
      <c r="C18" t="s">
        <v>439</v>
      </c>
      <c r="D18" s="3">
        <f ca="1">SUM(D9:D23)</f>
        <v>232274815000</v>
      </c>
      <c r="E18" s="3">
        <f ca="1">SUM(E9:E23)</f>
        <v>259273444300</v>
      </c>
      <c r="F18" s="3">
        <f ca="1">SUM(F9:F23)</f>
        <v>260409411129</v>
      </c>
      <c r="G18" s="3">
        <f ca="1">SUM(G9:G23)</f>
        <v>264214091462.87</v>
      </c>
      <c r="H18" s="3">
        <f ca="1">SUM(H9:H23)</f>
        <v>266072912206.7561</v>
      </c>
    </row>
    <row r="19" spans="3:8">
      <c r="D19" s="3"/>
      <c r="E19" s="3"/>
      <c r="F19" s="3"/>
      <c r="G19" s="3"/>
      <c r="H19" s="3"/>
    </row>
    <row r="20" spans="3:8">
      <c r="C20" t="s">
        <v>440</v>
      </c>
      <c r="D20" s="3">
        <f>+'Pro-Pdpt'!J14</f>
        <v>56702810000</v>
      </c>
      <c r="E20" s="3">
        <f>+'Pro-Pdpt'!M14</f>
        <v>79403894000</v>
      </c>
      <c r="F20" s="3">
        <f>+'Pro-Pdpt'!N14</f>
        <v>81156011000</v>
      </c>
      <c r="G20" s="3">
        <f>+'Pro-Pdpt'!O14</f>
        <v>85960691000</v>
      </c>
      <c r="H20" s="3">
        <f>+'Pro-Pdpt'!P14</f>
        <v>87819512000</v>
      </c>
    </row>
    <row r="21" spans="3:8">
      <c r="C21" t="s">
        <v>371</v>
      </c>
      <c r="D21" s="3">
        <f>+'[1]RCN 2014 (3)'!K159</f>
        <v>20607127000</v>
      </c>
      <c r="E21" s="3">
        <f>+'[1]RCN 2014 (3)'!L159</f>
        <v>27500000000</v>
      </c>
      <c r="F21" s="3">
        <f>+'[1]RCN 2014 (3)'!M159</f>
        <v>27500000000</v>
      </c>
      <c r="G21" s="3">
        <f>+'[1]RCN 2014 (3)'!N159</f>
        <v>27500000000</v>
      </c>
      <c r="H21" s="3">
        <f>+'[1]RCN 2014 (3)'!O159</f>
        <v>27500000000</v>
      </c>
    </row>
    <row r="22" spans="3:8">
      <c r="C22" t="s">
        <v>139</v>
      </c>
      <c r="D22" s="3">
        <f>+'[1]RCN 2014 (3)'!K168</f>
        <v>616150000</v>
      </c>
      <c r="E22" s="3">
        <f>+D22</f>
        <v>616150000</v>
      </c>
      <c r="F22" s="3">
        <f>+'[1]RCN 2014 (3)'!M168</f>
        <v>0</v>
      </c>
      <c r="G22" s="3">
        <v>0</v>
      </c>
      <c r="H22" s="3">
        <v>0</v>
      </c>
    </row>
    <row r="23" spans="3:8">
      <c r="C23" t="s">
        <v>441</v>
      </c>
      <c r="D23" s="3">
        <f>+'[1]RCN 2014 (3)'!K188</f>
        <v>39741100000</v>
      </c>
      <c r="E23" s="3">
        <f>+'[1]RCN 2014 (3)'!L188</f>
        <v>42500000000</v>
      </c>
      <c r="F23" s="3">
        <f>+'[1]RCN 2014 (3)'!M187</f>
        <v>42500000000</v>
      </c>
      <c r="G23" s="3">
        <f>+'[1]RCN 2014 (3)'!N187</f>
        <v>42500000000</v>
      </c>
      <c r="H23" s="3">
        <f>+'[1]RCN 2014 (3)'!O187</f>
        <v>42500000000</v>
      </c>
    </row>
    <row r="24" spans="3:8">
      <c r="D24" s="3"/>
      <c r="E24" s="3"/>
      <c r="F24" s="3"/>
      <c r="G24" s="3"/>
      <c r="H24" s="3"/>
    </row>
    <row r="25" spans="3:8">
      <c r="C25" t="s">
        <v>442</v>
      </c>
      <c r="D25" s="3">
        <f ca="1">+D4+D18</f>
        <v>1233492666250</v>
      </c>
      <c r="E25" s="3">
        <f ca="1">+E4+E18</f>
        <v>1342433931087.5</v>
      </c>
      <c r="F25" s="3">
        <f ca="1">+F4+F18</f>
        <v>1432340462520.125</v>
      </c>
      <c r="G25" s="3">
        <f ca="1">+G4+G18</f>
        <v>1532432159645.7285</v>
      </c>
      <c r="H25" s="3">
        <f ca="1">+H4+H18</f>
        <v>1638732986431.3506</v>
      </c>
    </row>
    <row r="26" spans="3:8">
      <c r="D26" s="3"/>
      <c r="E26" s="3"/>
      <c r="F26" s="3"/>
      <c r="G26" s="3"/>
      <c r="H26" s="3"/>
    </row>
    <row r="27" spans="3:8">
      <c r="D27" s="3"/>
      <c r="E27" s="3"/>
      <c r="F27" s="3"/>
      <c r="G27" s="3"/>
      <c r="H27" s="3"/>
    </row>
    <row r="28" spans="3:8">
      <c r="C28" t="s">
        <v>443</v>
      </c>
      <c r="D28" s="3">
        <f>+'Pro-Pdpt'!J5</f>
        <v>1136305222000.3025</v>
      </c>
      <c r="E28" s="3">
        <f>+'Pro-Pdpt'!M5</f>
        <v>1248007531135.5481</v>
      </c>
      <c r="F28" s="3">
        <f>+'Pro-Pdpt'!N5</f>
        <v>1317992594969.4731</v>
      </c>
      <c r="G28" s="3">
        <f>+'Pro-Pdpt'!O5</f>
        <v>1383602905568.2253</v>
      </c>
      <c r="H28" s="3">
        <f>+'Pro-Pdpt'!P5</f>
        <v>1464813082250</v>
      </c>
    </row>
    <row r="29" spans="3:8">
      <c r="D29" s="3"/>
      <c r="E29" s="3"/>
      <c r="F29" s="3"/>
      <c r="G29" s="3"/>
      <c r="H29" s="3"/>
    </row>
    <row r="30" spans="3:8">
      <c r="C30" t="s">
        <v>444</v>
      </c>
      <c r="D30" s="2">
        <f>+D6/D28*100</f>
        <v>42.154166919763789</v>
      </c>
      <c r="E30" s="2">
        <f>+E6/E28*100</f>
        <v>41.547625880767455</v>
      </c>
      <c r="F30" s="2">
        <f>+F6/F28*100</f>
        <v>42.587128022748907</v>
      </c>
      <c r="G30" s="2">
        <f>+G6/G28*100</f>
        <v>43.914481878371149</v>
      </c>
      <c r="H30" s="2">
        <f>+H6/H28*100</f>
        <v>45.005620801574928</v>
      </c>
    </row>
    <row r="31" spans="3:8">
      <c r="D31" s="3"/>
      <c r="E31" s="3"/>
      <c r="F31" s="3"/>
      <c r="G31" s="3"/>
      <c r="H31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N30"/>
  <sheetViews>
    <sheetView topLeftCell="F1" workbookViewId="0">
      <selection activeCell="M23" sqref="M23"/>
    </sheetView>
  </sheetViews>
  <sheetFormatPr defaultColWidth="23.28515625" defaultRowHeight="20.100000000000001" customHeight="1"/>
  <cols>
    <col min="1" max="1" width="13.140625" style="296" customWidth="1"/>
    <col min="2" max="2" width="58" style="297" customWidth="1"/>
    <col min="3" max="4" width="25" style="298" customWidth="1"/>
    <col min="5" max="6" width="20.7109375" style="299" customWidth="1"/>
    <col min="7" max="7" width="25" style="299" customWidth="1"/>
    <col min="8" max="8" width="18.7109375" style="299" customWidth="1"/>
    <col min="9" max="9" width="17.28515625" style="299" customWidth="1"/>
    <col min="10" max="13" width="18.85546875" style="299" customWidth="1"/>
    <col min="14" max="14" width="15.7109375" style="299" customWidth="1"/>
    <col min="15" max="242" width="9.140625" style="299" customWidth="1"/>
    <col min="243" max="243" width="6" style="299" customWidth="1"/>
    <col min="244" max="244" width="50.28515625" style="299" customWidth="1"/>
    <col min="245" max="246" width="0" style="299" hidden="1" customWidth="1"/>
    <col min="247" max="247" width="20.7109375" style="299" customWidth="1"/>
    <col min="248" max="248" width="23.28515625" style="299" customWidth="1"/>
    <col min="249" max="258" width="23.28515625" style="295"/>
    <col min="259" max="259" width="13.140625" style="295" customWidth="1"/>
    <col min="260" max="260" width="58" style="295" customWidth="1"/>
    <col min="261" max="261" width="25" style="295" customWidth="1"/>
    <col min="262" max="262" width="20.7109375" style="295" customWidth="1"/>
    <col min="263" max="263" width="25" style="295" customWidth="1"/>
    <col min="264" max="498" width="9.140625" style="295" customWidth="1"/>
    <col min="499" max="499" width="6" style="295" customWidth="1"/>
    <col min="500" max="500" width="50.28515625" style="295" customWidth="1"/>
    <col min="501" max="502" width="0" style="295" hidden="1" customWidth="1"/>
    <col min="503" max="503" width="20.7109375" style="295" customWidth="1"/>
    <col min="504" max="504" width="23.28515625" style="295" customWidth="1"/>
    <col min="505" max="514" width="23.28515625" style="295"/>
    <col min="515" max="515" width="13.140625" style="295" customWidth="1"/>
    <col min="516" max="516" width="58" style="295" customWidth="1"/>
    <col min="517" max="517" width="25" style="295" customWidth="1"/>
    <col min="518" max="518" width="20.7109375" style="295" customWidth="1"/>
    <col min="519" max="519" width="25" style="295" customWidth="1"/>
    <col min="520" max="754" width="9.140625" style="295" customWidth="1"/>
    <col min="755" max="755" width="6" style="295" customWidth="1"/>
    <col min="756" max="756" width="50.28515625" style="295" customWidth="1"/>
    <col min="757" max="758" width="0" style="295" hidden="1" customWidth="1"/>
    <col min="759" max="759" width="20.7109375" style="295" customWidth="1"/>
    <col min="760" max="760" width="23.28515625" style="295" customWidth="1"/>
    <col min="761" max="770" width="23.28515625" style="295"/>
    <col min="771" max="771" width="13.140625" style="295" customWidth="1"/>
    <col min="772" max="772" width="58" style="295" customWidth="1"/>
    <col min="773" max="773" width="25" style="295" customWidth="1"/>
    <col min="774" max="774" width="20.7109375" style="295" customWidth="1"/>
    <col min="775" max="775" width="25" style="295" customWidth="1"/>
    <col min="776" max="1010" width="9.140625" style="295" customWidth="1"/>
    <col min="1011" max="1011" width="6" style="295" customWidth="1"/>
    <col min="1012" max="1012" width="50.28515625" style="295" customWidth="1"/>
    <col min="1013" max="1014" width="0" style="295" hidden="1" customWidth="1"/>
    <col min="1015" max="1015" width="20.7109375" style="295" customWidth="1"/>
    <col min="1016" max="1016" width="23.28515625" style="295" customWidth="1"/>
    <col min="1017" max="1026" width="23.28515625" style="295"/>
    <col min="1027" max="1027" width="13.140625" style="295" customWidth="1"/>
    <col min="1028" max="1028" width="58" style="295" customWidth="1"/>
    <col min="1029" max="1029" width="25" style="295" customWidth="1"/>
    <col min="1030" max="1030" width="20.7109375" style="295" customWidth="1"/>
    <col min="1031" max="1031" width="25" style="295" customWidth="1"/>
    <col min="1032" max="1266" width="9.140625" style="295" customWidth="1"/>
    <col min="1267" max="1267" width="6" style="295" customWidth="1"/>
    <col min="1268" max="1268" width="50.28515625" style="295" customWidth="1"/>
    <col min="1269" max="1270" width="0" style="295" hidden="1" customWidth="1"/>
    <col min="1271" max="1271" width="20.7109375" style="295" customWidth="1"/>
    <col min="1272" max="1272" width="23.28515625" style="295" customWidth="1"/>
    <col min="1273" max="1282" width="23.28515625" style="295"/>
    <col min="1283" max="1283" width="13.140625" style="295" customWidth="1"/>
    <col min="1284" max="1284" width="58" style="295" customWidth="1"/>
    <col min="1285" max="1285" width="25" style="295" customWidth="1"/>
    <col min="1286" max="1286" width="20.7109375" style="295" customWidth="1"/>
    <col min="1287" max="1287" width="25" style="295" customWidth="1"/>
    <col min="1288" max="1522" width="9.140625" style="295" customWidth="1"/>
    <col min="1523" max="1523" width="6" style="295" customWidth="1"/>
    <col min="1524" max="1524" width="50.28515625" style="295" customWidth="1"/>
    <col min="1525" max="1526" width="0" style="295" hidden="1" customWidth="1"/>
    <col min="1527" max="1527" width="20.7109375" style="295" customWidth="1"/>
    <col min="1528" max="1528" width="23.28515625" style="295" customWidth="1"/>
    <col min="1529" max="1538" width="23.28515625" style="295"/>
    <col min="1539" max="1539" width="13.140625" style="295" customWidth="1"/>
    <col min="1540" max="1540" width="58" style="295" customWidth="1"/>
    <col min="1541" max="1541" width="25" style="295" customWidth="1"/>
    <col min="1542" max="1542" width="20.7109375" style="295" customWidth="1"/>
    <col min="1543" max="1543" width="25" style="295" customWidth="1"/>
    <col min="1544" max="1778" width="9.140625" style="295" customWidth="1"/>
    <col min="1779" max="1779" width="6" style="295" customWidth="1"/>
    <col min="1780" max="1780" width="50.28515625" style="295" customWidth="1"/>
    <col min="1781" max="1782" width="0" style="295" hidden="1" customWidth="1"/>
    <col min="1783" max="1783" width="20.7109375" style="295" customWidth="1"/>
    <col min="1784" max="1784" width="23.28515625" style="295" customWidth="1"/>
    <col min="1785" max="1794" width="23.28515625" style="295"/>
    <col min="1795" max="1795" width="13.140625" style="295" customWidth="1"/>
    <col min="1796" max="1796" width="58" style="295" customWidth="1"/>
    <col min="1797" max="1797" width="25" style="295" customWidth="1"/>
    <col min="1798" max="1798" width="20.7109375" style="295" customWidth="1"/>
    <col min="1799" max="1799" width="25" style="295" customWidth="1"/>
    <col min="1800" max="2034" width="9.140625" style="295" customWidth="1"/>
    <col min="2035" max="2035" width="6" style="295" customWidth="1"/>
    <col min="2036" max="2036" width="50.28515625" style="295" customWidth="1"/>
    <col min="2037" max="2038" width="0" style="295" hidden="1" customWidth="1"/>
    <col min="2039" max="2039" width="20.7109375" style="295" customWidth="1"/>
    <col min="2040" max="2040" width="23.28515625" style="295" customWidth="1"/>
    <col min="2041" max="2050" width="23.28515625" style="295"/>
    <col min="2051" max="2051" width="13.140625" style="295" customWidth="1"/>
    <col min="2052" max="2052" width="58" style="295" customWidth="1"/>
    <col min="2053" max="2053" width="25" style="295" customWidth="1"/>
    <col min="2054" max="2054" width="20.7109375" style="295" customWidth="1"/>
    <col min="2055" max="2055" width="25" style="295" customWidth="1"/>
    <col min="2056" max="2290" width="9.140625" style="295" customWidth="1"/>
    <col min="2291" max="2291" width="6" style="295" customWidth="1"/>
    <col min="2292" max="2292" width="50.28515625" style="295" customWidth="1"/>
    <col min="2293" max="2294" width="0" style="295" hidden="1" customWidth="1"/>
    <col min="2295" max="2295" width="20.7109375" style="295" customWidth="1"/>
    <col min="2296" max="2296" width="23.28515625" style="295" customWidth="1"/>
    <col min="2297" max="2306" width="23.28515625" style="295"/>
    <col min="2307" max="2307" width="13.140625" style="295" customWidth="1"/>
    <col min="2308" max="2308" width="58" style="295" customWidth="1"/>
    <col min="2309" max="2309" width="25" style="295" customWidth="1"/>
    <col min="2310" max="2310" width="20.7109375" style="295" customWidth="1"/>
    <col min="2311" max="2311" width="25" style="295" customWidth="1"/>
    <col min="2312" max="2546" width="9.140625" style="295" customWidth="1"/>
    <col min="2547" max="2547" width="6" style="295" customWidth="1"/>
    <col min="2548" max="2548" width="50.28515625" style="295" customWidth="1"/>
    <col min="2549" max="2550" width="0" style="295" hidden="1" customWidth="1"/>
    <col min="2551" max="2551" width="20.7109375" style="295" customWidth="1"/>
    <col min="2552" max="2552" width="23.28515625" style="295" customWidth="1"/>
    <col min="2553" max="2562" width="23.28515625" style="295"/>
    <col min="2563" max="2563" width="13.140625" style="295" customWidth="1"/>
    <col min="2564" max="2564" width="58" style="295" customWidth="1"/>
    <col min="2565" max="2565" width="25" style="295" customWidth="1"/>
    <col min="2566" max="2566" width="20.7109375" style="295" customWidth="1"/>
    <col min="2567" max="2567" width="25" style="295" customWidth="1"/>
    <col min="2568" max="2802" width="9.140625" style="295" customWidth="1"/>
    <col min="2803" max="2803" width="6" style="295" customWidth="1"/>
    <col min="2804" max="2804" width="50.28515625" style="295" customWidth="1"/>
    <col min="2805" max="2806" width="0" style="295" hidden="1" customWidth="1"/>
    <col min="2807" max="2807" width="20.7109375" style="295" customWidth="1"/>
    <col min="2808" max="2808" width="23.28515625" style="295" customWidth="1"/>
    <col min="2809" max="2818" width="23.28515625" style="295"/>
    <col min="2819" max="2819" width="13.140625" style="295" customWidth="1"/>
    <col min="2820" max="2820" width="58" style="295" customWidth="1"/>
    <col min="2821" max="2821" width="25" style="295" customWidth="1"/>
    <col min="2822" max="2822" width="20.7109375" style="295" customWidth="1"/>
    <col min="2823" max="2823" width="25" style="295" customWidth="1"/>
    <col min="2824" max="3058" width="9.140625" style="295" customWidth="1"/>
    <col min="3059" max="3059" width="6" style="295" customWidth="1"/>
    <col min="3060" max="3060" width="50.28515625" style="295" customWidth="1"/>
    <col min="3061" max="3062" width="0" style="295" hidden="1" customWidth="1"/>
    <col min="3063" max="3063" width="20.7109375" style="295" customWidth="1"/>
    <col min="3064" max="3064" width="23.28515625" style="295" customWidth="1"/>
    <col min="3065" max="3074" width="23.28515625" style="295"/>
    <col min="3075" max="3075" width="13.140625" style="295" customWidth="1"/>
    <col min="3076" max="3076" width="58" style="295" customWidth="1"/>
    <col min="3077" max="3077" width="25" style="295" customWidth="1"/>
    <col min="3078" max="3078" width="20.7109375" style="295" customWidth="1"/>
    <col min="3079" max="3079" width="25" style="295" customWidth="1"/>
    <col min="3080" max="3314" width="9.140625" style="295" customWidth="1"/>
    <col min="3315" max="3315" width="6" style="295" customWidth="1"/>
    <col min="3316" max="3316" width="50.28515625" style="295" customWidth="1"/>
    <col min="3317" max="3318" width="0" style="295" hidden="1" customWidth="1"/>
    <col min="3319" max="3319" width="20.7109375" style="295" customWidth="1"/>
    <col min="3320" max="3320" width="23.28515625" style="295" customWidth="1"/>
    <col min="3321" max="3330" width="23.28515625" style="295"/>
    <col min="3331" max="3331" width="13.140625" style="295" customWidth="1"/>
    <col min="3332" max="3332" width="58" style="295" customWidth="1"/>
    <col min="3333" max="3333" width="25" style="295" customWidth="1"/>
    <col min="3334" max="3334" width="20.7109375" style="295" customWidth="1"/>
    <col min="3335" max="3335" width="25" style="295" customWidth="1"/>
    <col min="3336" max="3570" width="9.140625" style="295" customWidth="1"/>
    <col min="3571" max="3571" width="6" style="295" customWidth="1"/>
    <col min="3572" max="3572" width="50.28515625" style="295" customWidth="1"/>
    <col min="3573" max="3574" width="0" style="295" hidden="1" customWidth="1"/>
    <col min="3575" max="3575" width="20.7109375" style="295" customWidth="1"/>
    <col min="3576" max="3576" width="23.28515625" style="295" customWidth="1"/>
    <col min="3577" max="3586" width="23.28515625" style="295"/>
    <col min="3587" max="3587" width="13.140625" style="295" customWidth="1"/>
    <col min="3588" max="3588" width="58" style="295" customWidth="1"/>
    <col min="3589" max="3589" width="25" style="295" customWidth="1"/>
    <col min="3590" max="3590" width="20.7109375" style="295" customWidth="1"/>
    <col min="3591" max="3591" width="25" style="295" customWidth="1"/>
    <col min="3592" max="3826" width="9.140625" style="295" customWidth="1"/>
    <col min="3827" max="3827" width="6" style="295" customWidth="1"/>
    <col min="3828" max="3828" width="50.28515625" style="295" customWidth="1"/>
    <col min="3829" max="3830" width="0" style="295" hidden="1" customWidth="1"/>
    <col min="3831" max="3831" width="20.7109375" style="295" customWidth="1"/>
    <col min="3832" max="3832" width="23.28515625" style="295" customWidth="1"/>
    <col min="3833" max="3842" width="23.28515625" style="295"/>
    <col min="3843" max="3843" width="13.140625" style="295" customWidth="1"/>
    <col min="3844" max="3844" width="58" style="295" customWidth="1"/>
    <col min="3845" max="3845" width="25" style="295" customWidth="1"/>
    <col min="3846" max="3846" width="20.7109375" style="295" customWidth="1"/>
    <col min="3847" max="3847" width="25" style="295" customWidth="1"/>
    <col min="3848" max="4082" width="9.140625" style="295" customWidth="1"/>
    <col min="4083" max="4083" width="6" style="295" customWidth="1"/>
    <col min="4084" max="4084" width="50.28515625" style="295" customWidth="1"/>
    <col min="4085" max="4086" width="0" style="295" hidden="1" customWidth="1"/>
    <col min="4087" max="4087" width="20.7109375" style="295" customWidth="1"/>
    <col min="4088" max="4088" width="23.28515625" style="295" customWidth="1"/>
    <col min="4089" max="4098" width="23.28515625" style="295"/>
    <col min="4099" max="4099" width="13.140625" style="295" customWidth="1"/>
    <col min="4100" max="4100" width="58" style="295" customWidth="1"/>
    <col min="4101" max="4101" width="25" style="295" customWidth="1"/>
    <col min="4102" max="4102" width="20.7109375" style="295" customWidth="1"/>
    <col min="4103" max="4103" width="25" style="295" customWidth="1"/>
    <col min="4104" max="4338" width="9.140625" style="295" customWidth="1"/>
    <col min="4339" max="4339" width="6" style="295" customWidth="1"/>
    <col min="4340" max="4340" width="50.28515625" style="295" customWidth="1"/>
    <col min="4341" max="4342" width="0" style="295" hidden="1" customWidth="1"/>
    <col min="4343" max="4343" width="20.7109375" style="295" customWidth="1"/>
    <col min="4344" max="4344" width="23.28515625" style="295" customWidth="1"/>
    <col min="4345" max="4354" width="23.28515625" style="295"/>
    <col min="4355" max="4355" width="13.140625" style="295" customWidth="1"/>
    <col min="4356" max="4356" width="58" style="295" customWidth="1"/>
    <col min="4357" max="4357" width="25" style="295" customWidth="1"/>
    <col min="4358" max="4358" width="20.7109375" style="295" customWidth="1"/>
    <col min="4359" max="4359" width="25" style="295" customWidth="1"/>
    <col min="4360" max="4594" width="9.140625" style="295" customWidth="1"/>
    <col min="4595" max="4595" width="6" style="295" customWidth="1"/>
    <col min="4596" max="4596" width="50.28515625" style="295" customWidth="1"/>
    <col min="4597" max="4598" width="0" style="295" hidden="1" customWidth="1"/>
    <col min="4599" max="4599" width="20.7109375" style="295" customWidth="1"/>
    <col min="4600" max="4600" width="23.28515625" style="295" customWidth="1"/>
    <col min="4601" max="4610" width="23.28515625" style="295"/>
    <col min="4611" max="4611" width="13.140625" style="295" customWidth="1"/>
    <col min="4612" max="4612" width="58" style="295" customWidth="1"/>
    <col min="4613" max="4613" width="25" style="295" customWidth="1"/>
    <col min="4614" max="4614" width="20.7109375" style="295" customWidth="1"/>
    <col min="4615" max="4615" width="25" style="295" customWidth="1"/>
    <col min="4616" max="4850" width="9.140625" style="295" customWidth="1"/>
    <col min="4851" max="4851" width="6" style="295" customWidth="1"/>
    <col min="4852" max="4852" width="50.28515625" style="295" customWidth="1"/>
    <col min="4853" max="4854" width="0" style="295" hidden="1" customWidth="1"/>
    <col min="4855" max="4855" width="20.7109375" style="295" customWidth="1"/>
    <col min="4856" max="4856" width="23.28515625" style="295" customWidth="1"/>
    <col min="4857" max="4866" width="23.28515625" style="295"/>
    <col min="4867" max="4867" width="13.140625" style="295" customWidth="1"/>
    <col min="4868" max="4868" width="58" style="295" customWidth="1"/>
    <col min="4869" max="4869" width="25" style="295" customWidth="1"/>
    <col min="4870" max="4870" width="20.7109375" style="295" customWidth="1"/>
    <col min="4871" max="4871" width="25" style="295" customWidth="1"/>
    <col min="4872" max="5106" width="9.140625" style="295" customWidth="1"/>
    <col min="5107" max="5107" width="6" style="295" customWidth="1"/>
    <col min="5108" max="5108" width="50.28515625" style="295" customWidth="1"/>
    <col min="5109" max="5110" width="0" style="295" hidden="1" customWidth="1"/>
    <col min="5111" max="5111" width="20.7109375" style="295" customWidth="1"/>
    <col min="5112" max="5112" width="23.28515625" style="295" customWidth="1"/>
    <col min="5113" max="5122" width="23.28515625" style="295"/>
    <col min="5123" max="5123" width="13.140625" style="295" customWidth="1"/>
    <col min="5124" max="5124" width="58" style="295" customWidth="1"/>
    <col min="5125" max="5125" width="25" style="295" customWidth="1"/>
    <col min="5126" max="5126" width="20.7109375" style="295" customWidth="1"/>
    <col min="5127" max="5127" width="25" style="295" customWidth="1"/>
    <col min="5128" max="5362" width="9.140625" style="295" customWidth="1"/>
    <col min="5363" max="5363" width="6" style="295" customWidth="1"/>
    <col min="5364" max="5364" width="50.28515625" style="295" customWidth="1"/>
    <col min="5365" max="5366" width="0" style="295" hidden="1" customWidth="1"/>
    <col min="5367" max="5367" width="20.7109375" style="295" customWidth="1"/>
    <col min="5368" max="5368" width="23.28515625" style="295" customWidth="1"/>
    <col min="5369" max="5378" width="23.28515625" style="295"/>
    <col min="5379" max="5379" width="13.140625" style="295" customWidth="1"/>
    <col min="5380" max="5380" width="58" style="295" customWidth="1"/>
    <col min="5381" max="5381" width="25" style="295" customWidth="1"/>
    <col min="5382" max="5382" width="20.7109375" style="295" customWidth="1"/>
    <col min="5383" max="5383" width="25" style="295" customWidth="1"/>
    <col min="5384" max="5618" width="9.140625" style="295" customWidth="1"/>
    <col min="5619" max="5619" width="6" style="295" customWidth="1"/>
    <col min="5620" max="5620" width="50.28515625" style="295" customWidth="1"/>
    <col min="5621" max="5622" width="0" style="295" hidden="1" customWidth="1"/>
    <col min="5623" max="5623" width="20.7109375" style="295" customWidth="1"/>
    <col min="5624" max="5624" width="23.28515625" style="295" customWidth="1"/>
    <col min="5625" max="5634" width="23.28515625" style="295"/>
    <col min="5635" max="5635" width="13.140625" style="295" customWidth="1"/>
    <col min="5636" max="5636" width="58" style="295" customWidth="1"/>
    <col min="5637" max="5637" width="25" style="295" customWidth="1"/>
    <col min="5638" max="5638" width="20.7109375" style="295" customWidth="1"/>
    <col min="5639" max="5639" width="25" style="295" customWidth="1"/>
    <col min="5640" max="5874" width="9.140625" style="295" customWidth="1"/>
    <col min="5875" max="5875" width="6" style="295" customWidth="1"/>
    <col min="5876" max="5876" width="50.28515625" style="295" customWidth="1"/>
    <col min="5877" max="5878" width="0" style="295" hidden="1" customWidth="1"/>
    <col min="5879" max="5879" width="20.7109375" style="295" customWidth="1"/>
    <col min="5880" max="5880" width="23.28515625" style="295" customWidth="1"/>
    <col min="5881" max="5890" width="23.28515625" style="295"/>
    <col min="5891" max="5891" width="13.140625" style="295" customWidth="1"/>
    <col min="5892" max="5892" width="58" style="295" customWidth="1"/>
    <col min="5893" max="5893" width="25" style="295" customWidth="1"/>
    <col min="5894" max="5894" width="20.7109375" style="295" customWidth="1"/>
    <col min="5895" max="5895" width="25" style="295" customWidth="1"/>
    <col min="5896" max="6130" width="9.140625" style="295" customWidth="1"/>
    <col min="6131" max="6131" width="6" style="295" customWidth="1"/>
    <col min="6132" max="6132" width="50.28515625" style="295" customWidth="1"/>
    <col min="6133" max="6134" width="0" style="295" hidden="1" customWidth="1"/>
    <col min="6135" max="6135" width="20.7109375" style="295" customWidth="1"/>
    <col min="6136" max="6136" width="23.28515625" style="295" customWidth="1"/>
    <col min="6137" max="6146" width="23.28515625" style="295"/>
    <col min="6147" max="6147" width="13.140625" style="295" customWidth="1"/>
    <col min="6148" max="6148" width="58" style="295" customWidth="1"/>
    <col min="6149" max="6149" width="25" style="295" customWidth="1"/>
    <col min="6150" max="6150" width="20.7109375" style="295" customWidth="1"/>
    <col min="6151" max="6151" width="25" style="295" customWidth="1"/>
    <col min="6152" max="6386" width="9.140625" style="295" customWidth="1"/>
    <col min="6387" max="6387" width="6" style="295" customWidth="1"/>
    <col min="6388" max="6388" width="50.28515625" style="295" customWidth="1"/>
    <col min="6389" max="6390" width="0" style="295" hidden="1" customWidth="1"/>
    <col min="6391" max="6391" width="20.7109375" style="295" customWidth="1"/>
    <col min="6392" max="6392" width="23.28515625" style="295" customWidth="1"/>
    <col min="6393" max="6402" width="23.28515625" style="295"/>
    <col min="6403" max="6403" width="13.140625" style="295" customWidth="1"/>
    <col min="6404" max="6404" width="58" style="295" customWidth="1"/>
    <col min="6405" max="6405" width="25" style="295" customWidth="1"/>
    <col min="6406" max="6406" width="20.7109375" style="295" customWidth="1"/>
    <col min="6407" max="6407" width="25" style="295" customWidth="1"/>
    <col min="6408" max="6642" width="9.140625" style="295" customWidth="1"/>
    <col min="6643" max="6643" width="6" style="295" customWidth="1"/>
    <col min="6644" max="6644" width="50.28515625" style="295" customWidth="1"/>
    <col min="6645" max="6646" width="0" style="295" hidden="1" customWidth="1"/>
    <col min="6647" max="6647" width="20.7109375" style="295" customWidth="1"/>
    <col min="6648" max="6648" width="23.28515625" style="295" customWidth="1"/>
    <col min="6649" max="6658" width="23.28515625" style="295"/>
    <col min="6659" max="6659" width="13.140625" style="295" customWidth="1"/>
    <col min="6660" max="6660" width="58" style="295" customWidth="1"/>
    <col min="6661" max="6661" width="25" style="295" customWidth="1"/>
    <col min="6662" max="6662" width="20.7109375" style="295" customWidth="1"/>
    <col min="6663" max="6663" width="25" style="295" customWidth="1"/>
    <col min="6664" max="6898" width="9.140625" style="295" customWidth="1"/>
    <col min="6899" max="6899" width="6" style="295" customWidth="1"/>
    <col min="6900" max="6900" width="50.28515625" style="295" customWidth="1"/>
    <col min="6901" max="6902" width="0" style="295" hidden="1" customWidth="1"/>
    <col min="6903" max="6903" width="20.7109375" style="295" customWidth="1"/>
    <col min="6904" max="6904" width="23.28515625" style="295" customWidth="1"/>
    <col min="6905" max="6914" width="23.28515625" style="295"/>
    <col min="6915" max="6915" width="13.140625" style="295" customWidth="1"/>
    <col min="6916" max="6916" width="58" style="295" customWidth="1"/>
    <col min="6917" max="6917" width="25" style="295" customWidth="1"/>
    <col min="6918" max="6918" width="20.7109375" style="295" customWidth="1"/>
    <col min="6919" max="6919" width="25" style="295" customWidth="1"/>
    <col min="6920" max="7154" width="9.140625" style="295" customWidth="1"/>
    <col min="7155" max="7155" width="6" style="295" customWidth="1"/>
    <col min="7156" max="7156" width="50.28515625" style="295" customWidth="1"/>
    <col min="7157" max="7158" width="0" style="295" hidden="1" customWidth="1"/>
    <col min="7159" max="7159" width="20.7109375" style="295" customWidth="1"/>
    <col min="7160" max="7160" width="23.28515625" style="295" customWidth="1"/>
    <col min="7161" max="7170" width="23.28515625" style="295"/>
    <col min="7171" max="7171" width="13.140625" style="295" customWidth="1"/>
    <col min="7172" max="7172" width="58" style="295" customWidth="1"/>
    <col min="7173" max="7173" width="25" style="295" customWidth="1"/>
    <col min="7174" max="7174" width="20.7109375" style="295" customWidth="1"/>
    <col min="7175" max="7175" width="25" style="295" customWidth="1"/>
    <col min="7176" max="7410" width="9.140625" style="295" customWidth="1"/>
    <col min="7411" max="7411" width="6" style="295" customWidth="1"/>
    <col min="7412" max="7412" width="50.28515625" style="295" customWidth="1"/>
    <col min="7413" max="7414" width="0" style="295" hidden="1" customWidth="1"/>
    <col min="7415" max="7415" width="20.7109375" style="295" customWidth="1"/>
    <col min="7416" max="7416" width="23.28515625" style="295" customWidth="1"/>
    <col min="7417" max="7426" width="23.28515625" style="295"/>
    <col min="7427" max="7427" width="13.140625" style="295" customWidth="1"/>
    <col min="7428" max="7428" width="58" style="295" customWidth="1"/>
    <col min="7429" max="7429" width="25" style="295" customWidth="1"/>
    <col min="7430" max="7430" width="20.7109375" style="295" customWidth="1"/>
    <col min="7431" max="7431" width="25" style="295" customWidth="1"/>
    <col min="7432" max="7666" width="9.140625" style="295" customWidth="1"/>
    <col min="7667" max="7667" width="6" style="295" customWidth="1"/>
    <col min="7668" max="7668" width="50.28515625" style="295" customWidth="1"/>
    <col min="7669" max="7670" width="0" style="295" hidden="1" customWidth="1"/>
    <col min="7671" max="7671" width="20.7109375" style="295" customWidth="1"/>
    <col min="7672" max="7672" width="23.28515625" style="295" customWidth="1"/>
    <col min="7673" max="7682" width="23.28515625" style="295"/>
    <col min="7683" max="7683" width="13.140625" style="295" customWidth="1"/>
    <col min="7684" max="7684" width="58" style="295" customWidth="1"/>
    <col min="7685" max="7685" width="25" style="295" customWidth="1"/>
    <col min="7686" max="7686" width="20.7109375" style="295" customWidth="1"/>
    <col min="7687" max="7687" width="25" style="295" customWidth="1"/>
    <col min="7688" max="7922" width="9.140625" style="295" customWidth="1"/>
    <col min="7923" max="7923" width="6" style="295" customWidth="1"/>
    <col min="7924" max="7924" width="50.28515625" style="295" customWidth="1"/>
    <col min="7925" max="7926" width="0" style="295" hidden="1" customWidth="1"/>
    <col min="7927" max="7927" width="20.7109375" style="295" customWidth="1"/>
    <col min="7928" max="7928" width="23.28515625" style="295" customWidth="1"/>
    <col min="7929" max="7938" width="23.28515625" style="295"/>
    <col min="7939" max="7939" width="13.140625" style="295" customWidth="1"/>
    <col min="7940" max="7940" width="58" style="295" customWidth="1"/>
    <col min="7941" max="7941" width="25" style="295" customWidth="1"/>
    <col min="7942" max="7942" width="20.7109375" style="295" customWidth="1"/>
    <col min="7943" max="7943" width="25" style="295" customWidth="1"/>
    <col min="7944" max="8178" width="9.140625" style="295" customWidth="1"/>
    <col min="8179" max="8179" width="6" style="295" customWidth="1"/>
    <col min="8180" max="8180" width="50.28515625" style="295" customWidth="1"/>
    <col min="8181" max="8182" width="0" style="295" hidden="1" customWidth="1"/>
    <col min="8183" max="8183" width="20.7109375" style="295" customWidth="1"/>
    <col min="8184" max="8184" width="23.28515625" style="295" customWidth="1"/>
    <col min="8185" max="8194" width="23.28515625" style="295"/>
    <col min="8195" max="8195" width="13.140625" style="295" customWidth="1"/>
    <col min="8196" max="8196" width="58" style="295" customWidth="1"/>
    <col min="8197" max="8197" width="25" style="295" customWidth="1"/>
    <col min="8198" max="8198" width="20.7109375" style="295" customWidth="1"/>
    <col min="8199" max="8199" width="25" style="295" customWidth="1"/>
    <col min="8200" max="8434" width="9.140625" style="295" customWidth="1"/>
    <col min="8435" max="8435" width="6" style="295" customWidth="1"/>
    <col min="8436" max="8436" width="50.28515625" style="295" customWidth="1"/>
    <col min="8437" max="8438" width="0" style="295" hidden="1" customWidth="1"/>
    <col min="8439" max="8439" width="20.7109375" style="295" customWidth="1"/>
    <col min="8440" max="8440" width="23.28515625" style="295" customWidth="1"/>
    <col min="8441" max="8450" width="23.28515625" style="295"/>
    <col min="8451" max="8451" width="13.140625" style="295" customWidth="1"/>
    <col min="8452" max="8452" width="58" style="295" customWidth="1"/>
    <col min="8453" max="8453" width="25" style="295" customWidth="1"/>
    <col min="8454" max="8454" width="20.7109375" style="295" customWidth="1"/>
    <col min="8455" max="8455" width="25" style="295" customWidth="1"/>
    <col min="8456" max="8690" width="9.140625" style="295" customWidth="1"/>
    <col min="8691" max="8691" width="6" style="295" customWidth="1"/>
    <col min="8692" max="8692" width="50.28515625" style="295" customWidth="1"/>
    <col min="8693" max="8694" width="0" style="295" hidden="1" customWidth="1"/>
    <col min="8695" max="8695" width="20.7109375" style="295" customWidth="1"/>
    <col min="8696" max="8696" width="23.28515625" style="295" customWidth="1"/>
    <col min="8697" max="8706" width="23.28515625" style="295"/>
    <col min="8707" max="8707" width="13.140625" style="295" customWidth="1"/>
    <col min="8708" max="8708" width="58" style="295" customWidth="1"/>
    <col min="8709" max="8709" width="25" style="295" customWidth="1"/>
    <col min="8710" max="8710" width="20.7109375" style="295" customWidth="1"/>
    <col min="8711" max="8711" width="25" style="295" customWidth="1"/>
    <col min="8712" max="8946" width="9.140625" style="295" customWidth="1"/>
    <col min="8947" max="8947" width="6" style="295" customWidth="1"/>
    <col min="8948" max="8948" width="50.28515625" style="295" customWidth="1"/>
    <col min="8949" max="8950" width="0" style="295" hidden="1" customWidth="1"/>
    <col min="8951" max="8951" width="20.7109375" style="295" customWidth="1"/>
    <col min="8952" max="8952" width="23.28515625" style="295" customWidth="1"/>
    <col min="8953" max="8962" width="23.28515625" style="295"/>
    <col min="8963" max="8963" width="13.140625" style="295" customWidth="1"/>
    <col min="8964" max="8964" width="58" style="295" customWidth="1"/>
    <col min="8965" max="8965" width="25" style="295" customWidth="1"/>
    <col min="8966" max="8966" width="20.7109375" style="295" customWidth="1"/>
    <col min="8967" max="8967" width="25" style="295" customWidth="1"/>
    <col min="8968" max="9202" width="9.140625" style="295" customWidth="1"/>
    <col min="9203" max="9203" width="6" style="295" customWidth="1"/>
    <col min="9204" max="9204" width="50.28515625" style="295" customWidth="1"/>
    <col min="9205" max="9206" width="0" style="295" hidden="1" customWidth="1"/>
    <col min="9207" max="9207" width="20.7109375" style="295" customWidth="1"/>
    <col min="9208" max="9208" width="23.28515625" style="295" customWidth="1"/>
    <col min="9209" max="9218" width="23.28515625" style="295"/>
    <col min="9219" max="9219" width="13.140625" style="295" customWidth="1"/>
    <col min="9220" max="9220" width="58" style="295" customWidth="1"/>
    <col min="9221" max="9221" width="25" style="295" customWidth="1"/>
    <col min="9222" max="9222" width="20.7109375" style="295" customWidth="1"/>
    <col min="9223" max="9223" width="25" style="295" customWidth="1"/>
    <col min="9224" max="9458" width="9.140625" style="295" customWidth="1"/>
    <col min="9459" max="9459" width="6" style="295" customWidth="1"/>
    <col min="9460" max="9460" width="50.28515625" style="295" customWidth="1"/>
    <col min="9461" max="9462" width="0" style="295" hidden="1" customWidth="1"/>
    <col min="9463" max="9463" width="20.7109375" style="295" customWidth="1"/>
    <col min="9464" max="9464" width="23.28515625" style="295" customWidth="1"/>
    <col min="9465" max="9474" width="23.28515625" style="295"/>
    <col min="9475" max="9475" width="13.140625" style="295" customWidth="1"/>
    <col min="9476" max="9476" width="58" style="295" customWidth="1"/>
    <col min="9477" max="9477" width="25" style="295" customWidth="1"/>
    <col min="9478" max="9478" width="20.7109375" style="295" customWidth="1"/>
    <col min="9479" max="9479" width="25" style="295" customWidth="1"/>
    <col min="9480" max="9714" width="9.140625" style="295" customWidth="1"/>
    <col min="9715" max="9715" width="6" style="295" customWidth="1"/>
    <col min="9716" max="9716" width="50.28515625" style="295" customWidth="1"/>
    <col min="9717" max="9718" width="0" style="295" hidden="1" customWidth="1"/>
    <col min="9719" max="9719" width="20.7109375" style="295" customWidth="1"/>
    <col min="9720" max="9720" width="23.28515625" style="295" customWidth="1"/>
    <col min="9721" max="9730" width="23.28515625" style="295"/>
    <col min="9731" max="9731" width="13.140625" style="295" customWidth="1"/>
    <col min="9732" max="9732" width="58" style="295" customWidth="1"/>
    <col min="9733" max="9733" width="25" style="295" customWidth="1"/>
    <col min="9734" max="9734" width="20.7109375" style="295" customWidth="1"/>
    <col min="9735" max="9735" width="25" style="295" customWidth="1"/>
    <col min="9736" max="9970" width="9.140625" style="295" customWidth="1"/>
    <col min="9971" max="9971" width="6" style="295" customWidth="1"/>
    <col min="9972" max="9972" width="50.28515625" style="295" customWidth="1"/>
    <col min="9973" max="9974" width="0" style="295" hidden="1" customWidth="1"/>
    <col min="9975" max="9975" width="20.7109375" style="295" customWidth="1"/>
    <col min="9976" max="9976" width="23.28515625" style="295" customWidth="1"/>
    <col min="9977" max="9986" width="23.28515625" style="295"/>
    <col min="9987" max="9987" width="13.140625" style="295" customWidth="1"/>
    <col min="9988" max="9988" width="58" style="295" customWidth="1"/>
    <col min="9989" max="9989" width="25" style="295" customWidth="1"/>
    <col min="9990" max="9990" width="20.7109375" style="295" customWidth="1"/>
    <col min="9991" max="9991" width="25" style="295" customWidth="1"/>
    <col min="9992" max="10226" width="9.140625" style="295" customWidth="1"/>
    <col min="10227" max="10227" width="6" style="295" customWidth="1"/>
    <col min="10228" max="10228" width="50.28515625" style="295" customWidth="1"/>
    <col min="10229" max="10230" width="0" style="295" hidden="1" customWidth="1"/>
    <col min="10231" max="10231" width="20.7109375" style="295" customWidth="1"/>
    <col min="10232" max="10232" width="23.28515625" style="295" customWidth="1"/>
    <col min="10233" max="10242" width="23.28515625" style="295"/>
    <col min="10243" max="10243" width="13.140625" style="295" customWidth="1"/>
    <col min="10244" max="10244" width="58" style="295" customWidth="1"/>
    <col min="10245" max="10245" width="25" style="295" customWidth="1"/>
    <col min="10246" max="10246" width="20.7109375" style="295" customWidth="1"/>
    <col min="10247" max="10247" width="25" style="295" customWidth="1"/>
    <col min="10248" max="10482" width="9.140625" style="295" customWidth="1"/>
    <col min="10483" max="10483" width="6" style="295" customWidth="1"/>
    <col min="10484" max="10484" width="50.28515625" style="295" customWidth="1"/>
    <col min="10485" max="10486" width="0" style="295" hidden="1" customWidth="1"/>
    <col min="10487" max="10487" width="20.7109375" style="295" customWidth="1"/>
    <col min="10488" max="10488" width="23.28515625" style="295" customWidth="1"/>
    <col min="10489" max="10498" width="23.28515625" style="295"/>
    <col min="10499" max="10499" width="13.140625" style="295" customWidth="1"/>
    <col min="10500" max="10500" width="58" style="295" customWidth="1"/>
    <col min="10501" max="10501" width="25" style="295" customWidth="1"/>
    <col min="10502" max="10502" width="20.7109375" style="295" customWidth="1"/>
    <col min="10503" max="10503" width="25" style="295" customWidth="1"/>
    <col min="10504" max="10738" width="9.140625" style="295" customWidth="1"/>
    <col min="10739" max="10739" width="6" style="295" customWidth="1"/>
    <col min="10740" max="10740" width="50.28515625" style="295" customWidth="1"/>
    <col min="10741" max="10742" width="0" style="295" hidden="1" customWidth="1"/>
    <col min="10743" max="10743" width="20.7109375" style="295" customWidth="1"/>
    <col min="10744" max="10744" width="23.28515625" style="295" customWidth="1"/>
    <col min="10745" max="10754" width="23.28515625" style="295"/>
    <col min="10755" max="10755" width="13.140625" style="295" customWidth="1"/>
    <col min="10756" max="10756" width="58" style="295" customWidth="1"/>
    <col min="10757" max="10757" width="25" style="295" customWidth="1"/>
    <col min="10758" max="10758" width="20.7109375" style="295" customWidth="1"/>
    <col min="10759" max="10759" width="25" style="295" customWidth="1"/>
    <col min="10760" max="10994" width="9.140625" style="295" customWidth="1"/>
    <col min="10995" max="10995" width="6" style="295" customWidth="1"/>
    <col min="10996" max="10996" width="50.28515625" style="295" customWidth="1"/>
    <col min="10997" max="10998" width="0" style="295" hidden="1" customWidth="1"/>
    <col min="10999" max="10999" width="20.7109375" style="295" customWidth="1"/>
    <col min="11000" max="11000" width="23.28515625" style="295" customWidth="1"/>
    <col min="11001" max="11010" width="23.28515625" style="295"/>
    <col min="11011" max="11011" width="13.140625" style="295" customWidth="1"/>
    <col min="11012" max="11012" width="58" style="295" customWidth="1"/>
    <col min="11013" max="11013" width="25" style="295" customWidth="1"/>
    <col min="11014" max="11014" width="20.7109375" style="295" customWidth="1"/>
    <col min="11015" max="11015" width="25" style="295" customWidth="1"/>
    <col min="11016" max="11250" width="9.140625" style="295" customWidth="1"/>
    <col min="11251" max="11251" width="6" style="295" customWidth="1"/>
    <col min="11252" max="11252" width="50.28515625" style="295" customWidth="1"/>
    <col min="11253" max="11254" width="0" style="295" hidden="1" customWidth="1"/>
    <col min="11255" max="11255" width="20.7109375" style="295" customWidth="1"/>
    <col min="11256" max="11256" width="23.28515625" style="295" customWidth="1"/>
    <col min="11257" max="11266" width="23.28515625" style="295"/>
    <col min="11267" max="11267" width="13.140625" style="295" customWidth="1"/>
    <col min="11268" max="11268" width="58" style="295" customWidth="1"/>
    <col min="11269" max="11269" width="25" style="295" customWidth="1"/>
    <col min="11270" max="11270" width="20.7109375" style="295" customWidth="1"/>
    <col min="11271" max="11271" width="25" style="295" customWidth="1"/>
    <col min="11272" max="11506" width="9.140625" style="295" customWidth="1"/>
    <col min="11507" max="11507" width="6" style="295" customWidth="1"/>
    <col min="11508" max="11508" width="50.28515625" style="295" customWidth="1"/>
    <col min="11509" max="11510" width="0" style="295" hidden="1" customWidth="1"/>
    <col min="11511" max="11511" width="20.7109375" style="295" customWidth="1"/>
    <col min="11512" max="11512" width="23.28515625" style="295" customWidth="1"/>
    <col min="11513" max="11522" width="23.28515625" style="295"/>
    <col min="11523" max="11523" width="13.140625" style="295" customWidth="1"/>
    <col min="11524" max="11524" width="58" style="295" customWidth="1"/>
    <col min="11525" max="11525" width="25" style="295" customWidth="1"/>
    <col min="11526" max="11526" width="20.7109375" style="295" customWidth="1"/>
    <col min="11527" max="11527" width="25" style="295" customWidth="1"/>
    <col min="11528" max="11762" width="9.140625" style="295" customWidth="1"/>
    <col min="11763" max="11763" width="6" style="295" customWidth="1"/>
    <col min="11764" max="11764" width="50.28515625" style="295" customWidth="1"/>
    <col min="11765" max="11766" width="0" style="295" hidden="1" customWidth="1"/>
    <col min="11767" max="11767" width="20.7109375" style="295" customWidth="1"/>
    <col min="11768" max="11768" width="23.28515625" style="295" customWidth="1"/>
    <col min="11769" max="11778" width="23.28515625" style="295"/>
    <col min="11779" max="11779" width="13.140625" style="295" customWidth="1"/>
    <col min="11780" max="11780" width="58" style="295" customWidth="1"/>
    <col min="11781" max="11781" width="25" style="295" customWidth="1"/>
    <col min="11782" max="11782" width="20.7109375" style="295" customWidth="1"/>
    <col min="11783" max="11783" width="25" style="295" customWidth="1"/>
    <col min="11784" max="12018" width="9.140625" style="295" customWidth="1"/>
    <col min="12019" max="12019" width="6" style="295" customWidth="1"/>
    <col min="12020" max="12020" width="50.28515625" style="295" customWidth="1"/>
    <col min="12021" max="12022" width="0" style="295" hidden="1" customWidth="1"/>
    <col min="12023" max="12023" width="20.7109375" style="295" customWidth="1"/>
    <col min="12024" max="12024" width="23.28515625" style="295" customWidth="1"/>
    <col min="12025" max="12034" width="23.28515625" style="295"/>
    <col min="12035" max="12035" width="13.140625" style="295" customWidth="1"/>
    <col min="12036" max="12036" width="58" style="295" customWidth="1"/>
    <col min="12037" max="12037" width="25" style="295" customWidth="1"/>
    <col min="12038" max="12038" width="20.7109375" style="295" customWidth="1"/>
    <col min="12039" max="12039" width="25" style="295" customWidth="1"/>
    <col min="12040" max="12274" width="9.140625" style="295" customWidth="1"/>
    <col min="12275" max="12275" width="6" style="295" customWidth="1"/>
    <col min="12276" max="12276" width="50.28515625" style="295" customWidth="1"/>
    <col min="12277" max="12278" width="0" style="295" hidden="1" customWidth="1"/>
    <col min="12279" max="12279" width="20.7109375" style="295" customWidth="1"/>
    <col min="12280" max="12280" width="23.28515625" style="295" customWidth="1"/>
    <col min="12281" max="12290" width="23.28515625" style="295"/>
    <col min="12291" max="12291" width="13.140625" style="295" customWidth="1"/>
    <col min="12292" max="12292" width="58" style="295" customWidth="1"/>
    <col min="12293" max="12293" width="25" style="295" customWidth="1"/>
    <col min="12294" max="12294" width="20.7109375" style="295" customWidth="1"/>
    <col min="12295" max="12295" width="25" style="295" customWidth="1"/>
    <col min="12296" max="12530" width="9.140625" style="295" customWidth="1"/>
    <col min="12531" max="12531" width="6" style="295" customWidth="1"/>
    <col min="12532" max="12532" width="50.28515625" style="295" customWidth="1"/>
    <col min="12533" max="12534" width="0" style="295" hidden="1" customWidth="1"/>
    <col min="12535" max="12535" width="20.7109375" style="295" customWidth="1"/>
    <col min="12536" max="12536" width="23.28515625" style="295" customWidth="1"/>
    <col min="12537" max="12546" width="23.28515625" style="295"/>
    <col min="12547" max="12547" width="13.140625" style="295" customWidth="1"/>
    <col min="12548" max="12548" width="58" style="295" customWidth="1"/>
    <col min="12549" max="12549" width="25" style="295" customWidth="1"/>
    <col min="12550" max="12550" width="20.7109375" style="295" customWidth="1"/>
    <col min="12551" max="12551" width="25" style="295" customWidth="1"/>
    <col min="12552" max="12786" width="9.140625" style="295" customWidth="1"/>
    <col min="12787" max="12787" width="6" style="295" customWidth="1"/>
    <col min="12788" max="12788" width="50.28515625" style="295" customWidth="1"/>
    <col min="12789" max="12790" width="0" style="295" hidden="1" customWidth="1"/>
    <col min="12791" max="12791" width="20.7109375" style="295" customWidth="1"/>
    <col min="12792" max="12792" width="23.28515625" style="295" customWidth="1"/>
    <col min="12793" max="12802" width="23.28515625" style="295"/>
    <col min="12803" max="12803" width="13.140625" style="295" customWidth="1"/>
    <col min="12804" max="12804" width="58" style="295" customWidth="1"/>
    <col min="12805" max="12805" width="25" style="295" customWidth="1"/>
    <col min="12806" max="12806" width="20.7109375" style="295" customWidth="1"/>
    <col min="12807" max="12807" width="25" style="295" customWidth="1"/>
    <col min="12808" max="13042" width="9.140625" style="295" customWidth="1"/>
    <col min="13043" max="13043" width="6" style="295" customWidth="1"/>
    <col min="13044" max="13044" width="50.28515625" style="295" customWidth="1"/>
    <col min="13045" max="13046" width="0" style="295" hidden="1" customWidth="1"/>
    <col min="13047" max="13047" width="20.7109375" style="295" customWidth="1"/>
    <col min="13048" max="13048" width="23.28515625" style="295" customWidth="1"/>
    <col min="13049" max="13058" width="23.28515625" style="295"/>
    <col min="13059" max="13059" width="13.140625" style="295" customWidth="1"/>
    <col min="13060" max="13060" width="58" style="295" customWidth="1"/>
    <col min="13061" max="13061" width="25" style="295" customWidth="1"/>
    <col min="13062" max="13062" width="20.7109375" style="295" customWidth="1"/>
    <col min="13063" max="13063" width="25" style="295" customWidth="1"/>
    <col min="13064" max="13298" width="9.140625" style="295" customWidth="1"/>
    <col min="13299" max="13299" width="6" style="295" customWidth="1"/>
    <col min="13300" max="13300" width="50.28515625" style="295" customWidth="1"/>
    <col min="13301" max="13302" width="0" style="295" hidden="1" customWidth="1"/>
    <col min="13303" max="13303" width="20.7109375" style="295" customWidth="1"/>
    <col min="13304" max="13304" width="23.28515625" style="295" customWidth="1"/>
    <col min="13305" max="13314" width="23.28515625" style="295"/>
    <col min="13315" max="13315" width="13.140625" style="295" customWidth="1"/>
    <col min="13316" max="13316" width="58" style="295" customWidth="1"/>
    <col min="13317" max="13317" width="25" style="295" customWidth="1"/>
    <col min="13318" max="13318" width="20.7109375" style="295" customWidth="1"/>
    <col min="13319" max="13319" width="25" style="295" customWidth="1"/>
    <col min="13320" max="13554" width="9.140625" style="295" customWidth="1"/>
    <col min="13555" max="13555" width="6" style="295" customWidth="1"/>
    <col min="13556" max="13556" width="50.28515625" style="295" customWidth="1"/>
    <col min="13557" max="13558" width="0" style="295" hidden="1" customWidth="1"/>
    <col min="13559" max="13559" width="20.7109375" style="295" customWidth="1"/>
    <col min="13560" max="13560" width="23.28515625" style="295" customWidth="1"/>
    <col min="13561" max="13570" width="23.28515625" style="295"/>
    <col min="13571" max="13571" width="13.140625" style="295" customWidth="1"/>
    <col min="13572" max="13572" width="58" style="295" customWidth="1"/>
    <col min="13573" max="13573" width="25" style="295" customWidth="1"/>
    <col min="13574" max="13574" width="20.7109375" style="295" customWidth="1"/>
    <col min="13575" max="13575" width="25" style="295" customWidth="1"/>
    <col min="13576" max="13810" width="9.140625" style="295" customWidth="1"/>
    <col min="13811" max="13811" width="6" style="295" customWidth="1"/>
    <col min="13812" max="13812" width="50.28515625" style="295" customWidth="1"/>
    <col min="13813" max="13814" width="0" style="295" hidden="1" customWidth="1"/>
    <col min="13815" max="13815" width="20.7109375" style="295" customWidth="1"/>
    <col min="13816" max="13816" width="23.28515625" style="295" customWidth="1"/>
    <col min="13817" max="13826" width="23.28515625" style="295"/>
    <col min="13827" max="13827" width="13.140625" style="295" customWidth="1"/>
    <col min="13828" max="13828" width="58" style="295" customWidth="1"/>
    <col min="13829" max="13829" width="25" style="295" customWidth="1"/>
    <col min="13830" max="13830" width="20.7109375" style="295" customWidth="1"/>
    <col min="13831" max="13831" width="25" style="295" customWidth="1"/>
    <col min="13832" max="14066" width="9.140625" style="295" customWidth="1"/>
    <col min="14067" max="14067" width="6" style="295" customWidth="1"/>
    <col min="14068" max="14068" width="50.28515625" style="295" customWidth="1"/>
    <col min="14069" max="14070" width="0" style="295" hidden="1" customWidth="1"/>
    <col min="14071" max="14071" width="20.7109375" style="295" customWidth="1"/>
    <col min="14072" max="14072" width="23.28515625" style="295" customWidth="1"/>
    <col min="14073" max="14082" width="23.28515625" style="295"/>
    <col min="14083" max="14083" width="13.140625" style="295" customWidth="1"/>
    <col min="14084" max="14084" width="58" style="295" customWidth="1"/>
    <col min="14085" max="14085" width="25" style="295" customWidth="1"/>
    <col min="14086" max="14086" width="20.7109375" style="295" customWidth="1"/>
    <col min="14087" max="14087" width="25" style="295" customWidth="1"/>
    <col min="14088" max="14322" width="9.140625" style="295" customWidth="1"/>
    <col min="14323" max="14323" width="6" style="295" customWidth="1"/>
    <col min="14324" max="14324" width="50.28515625" style="295" customWidth="1"/>
    <col min="14325" max="14326" width="0" style="295" hidden="1" customWidth="1"/>
    <col min="14327" max="14327" width="20.7109375" style="295" customWidth="1"/>
    <col min="14328" max="14328" width="23.28515625" style="295" customWidth="1"/>
    <col min="14329" max="14338" width="23.28515625" style="295"/>
    <col min="14339" max="14339" width="13.140625" style="295" customWidth="1"/>
    <col min="14340" max="14340" width="58" style="295" customWidth="1"/>
    <col min="14341" max="14341" width="25" style="295" customWidth="1"/>
    <col min="14342" max="14342" width="20.7109375" style="295" customWidth="1"/>
    <col min="14343" max="14343" width="25" style="295" customWidth="1"/>
    <col min="14344" max="14578" width="9.140625" style="295" customWidth="1"/>
    <col min="14579" max="14579" width="6" style="295" customWidth="1"/>
    <col min="14580" max="14580" width="50.28515625" style="295" customWidth="1"/>
    <col min="14581" max="14582" width="0" style="295" hidden="1" customWidth="1"/>
    <col min="14583" max="14583" width="20.7109375" style="295" customWidth="1"/>
    <col min="14584" max="14584" width="23.28515625" style="295" customWidth="1"/>
    <col min="14585" max="14594" width="23.28515625" style="295"/>
    <col min="14595" max="14595" width="13.140625" style="295" customWidth="1"/>
    <col min="14596" max="14596" width="58" style="295" customWidth="1"/>
    <col min="14597" max="14597" width="25" style="295" customWidth="1"/>
    <col min="14598" max="14598" width="20.7109375" style="295" customWidth="1"/>
    <col min="14599" max="14599" width="25" style="295" customWidth="1"/>
    <col min="14600" max="14834" width="9.140625" style="295" customWidth="1"/>
    <col min="14835" max="14835" width="6" style="295" customWidth="1"/>
    <col min="14836" max="14836" width="50.28515625" style="295" customWidth="1"/>
    <col min="14837" max="14838" width="0" style="295" hidden="1" customWidth="1"/>
    <col min="14839" max="14839" width="20.7109375" style="295" customWidth="1"/>
    <col min="14840" max="14840" width="23.28515625" style="295" customWidth="1"/>
    <col min="14841" max="14850" width="23.28515625" style="295"/>
    <col min="14851" max="14851" width="13.140625" style="295" customWidth="1"/>
    <col min="14852" max="14852" width="58" style="295" customWidth="1"/>
    <col min="14853" max="14853" width="25" style="295" customWidth="1"/>
    <col min="14854" max="14854" width="20.7109375" style="295" customWidth="1"/>
    <col min="14855" max="14855" width="25" style="295" customWidth="1"/>
    <col min="14856" max="15090" width="9.140625" style="295" customWidth="1"/>
    <col min="15091" max="15091" width="6" style="295" customWidth="1"/>
    <col min="15092" max="15092" width="50.28515625" style="295" customWidth="1"/>
    <col min="15093" max="15094" width="0" style="295" hidden="1" customWidth="1"/>
    <col min="15095" max="15095" width="20.7109375" style="295" customWidth="1"/>
    <col min="15096" max="15096" width="23.28515625" style="295" customWidth="1"/>
    <col min="15097" max="15106" width="23.28515625" style="295"/>
    <col min="15107" max="15107" width="13.140625" style="295" customWidth="1"/>
    <col min="15108" max="15108" width="58" style="295" customWidth="1"/>
    <col min="15109" max="15109" width="25" style="295" customWidth="1"/>
    <col min="15110" max="15110" width="20.7109375" style="295" customWidth="1"/>
    <col min="15111" max="15111" width="25" style="295" customWidth="1"/>
    <col min="15112" max="15346" width="9.140625" style="295" customWidth="1"/>
    <col min="15347" max="15347" width="6" style="295" customWidth="1"/>
    <col min="15348" max="15348" width="50.28515625" style="295" customWidth="1"/>
    <col min="15349" max="15350" width="0" style="295" hidden="1" customWidth="1"/>
    <col min="15351" max="15351" width="20.7109375" style="295" customWidth="1"/>
    <col min="15352" max="15352" width="23.28515625" style="295" customWidth="1"/>
    <col min="15353" max="15362" width="23.28515625" style="295"/>
    <col min="15363" max="15363" width="13.140625" style="295" customWidth="1"/>
    <col min="15364" max="15364" width="58" style="295" customWidth="1"/>
    <col min="15365" max="15365" width="25" style="295" customWidth="1"/>
    <col min="15366" max="15366" width="20.7109375" style="295" customWidth="1"/>
    <col min="15367" max="15367" width="25" style="295" customWidth="1"/>
    <col min="15368" max="15602" width="9.140625" style="295" customWidth="1"/>
    <col min="15603" max="15603" width="6" style="295" customWidth="1"/>
    <col min="15604" max="15604" width="50.28515625" style="295" customWidth="1"/>
    <col min="15605" max="15606" width="0" style="295" hidden="1" customWidth="1"/>
    <col min="15607" max="15607" width="20.7109375" style="295" customWidth="1"/>
    <col min="15608" max="15608" width="23.28515625" style="295" customWidth="1"/>
    <col min="15609" max="15618" width="23.28515625" style="295"/>
    <col min="15619" max="15619" width="13.140625" style="295" customWidth="1"/>
    <col min="15620" max="15620" width="58" style="295" customWidth="1"/>
    <col min="15621" max="15621" width="25" style="295" customWidth="1"/>
    <col min="15622" max="15622" width="20.7109375" style="295" customWidth="1"/>
    <col min="15623" max="15623" width="25" style="295" customWidth="1"/>
    <col min="15624" max="15858" width="9.140625" style="295" customWidth="1"/>
    <col min="15859" max="15859" width="6" style="295" customWidth="1"/>
    <col min="15860" max="15860" width="50.28515625" style="295" customWidth="1"/>
    <col min="15861" max="15862" width="0" style="295" hidden="1" customWidth="1"/>
    <col min="15863" max="15863" width="20.7109375" style="295" customWidth="1"/>
    <col min="15864" max="15864" width="23.28515625" style="295" customWidth="1"/>
    <col min="15865" max="15874" width="23.28515625" style="295"/>
    <col min="15875" max="15875" width="13.140625" style="295" customWidth="1"/>
    <col min="15876" max="15876" width="58" style="295" customWidth="1"/>
    <col min="15877" max="15877" width="25" style="295" customWidth="1"/>
    <col min="15878" max="15878" width="20.7109375" style="295" customWidth="1"/>
    <col min="15879" max="15879" width="25" style="295" customWidth="1"/>
    <col min="15880" max="16114" width="9.140625" style="295" customWidth="1"/>
    <col min="16115" max="16115" width="6" style="295" customWidth="1"/>
    <col min="16116" max="16116" width="50.28515625" style="295" customWidth="1"/>
    <col min="16117" max="16118" width="0" style="295" hidden="1" customWidth="1"/>
    <col min="16119" max="16119" width="20.7109375" style="295" customWidth="1"/>
    <col min="16120" max="16120" width="23.28515625" style="295" customWidth="1"/>
    <col min="16121" max="16130" width="23.28515625" style="295"/>
    <col min="16131" max="16131" width="13.140625" style="295" customWidth="1"/>
    <col min="16132" max="16132" width="58" style="295" customWidth="1"/>
    <col min="16133" max="16133" width="25" style="295" customWidth="1"/>
    <col min="16134" max="16134" width="20.7109375" style="295" customWidth="1"/>
    <col min="16135" max="16135" width="25" style="295" customWidth="1"/>
    <col min="16136" max="16370" width="9.140625" style="295" customWidth="1"/>
    <col min="16371" max="16371" width="6" style="295" customWidth="1"/>
    <col min="16372" max="16372" width="50.28515625" style="295" customWidth="1"/>
    <col min="16373" max="16374" width="0" style="295" hidden="1" customWidth="1"/>
    <col min="16375" max="16375" width="20.7109375" style="295" customWidth="1"/>
    <col min="16376" max="16376" width="23.28515625" style="295" customWidth="1"/>
    <col min="16377" max="16384" width="23.28515625" style="295"/>
  </cols>
  <sheetData>
    <row r="1" spans="1:248" ht="11.25">
      <c r="A1" s="546" t="s">
        <v>140</v>
      </c>
      <c r="B1" s="546"/>
      <c r="C1" s="546"/>
      <c r="D1" s="546"/>
      <c r="E1" s="546"/>
      <c r="F1" s="546"/>
      <c r="G1" s="546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  <c r="IK1" s="294"/>
      <c r="IL1" s="294"/>
      <c r="IM1" s="294"/>
      <c r="IN1" s="294"/>
    </row>
    <row r="2" spans="1:248" ht="11.25">
      <c r="A2" s="546" t="s">
        <v>141</v>
      </c>
      <c r="B2" s="546"/>
      <c r="C2" s="546"/>
      <c r="D2" s="546"/>
      <c r="E2" s="546"/>
      <c r="F2" s="546"/>
      <c r="G2" s="546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</row>
    <row r="3" spans="1:248" ht="11.25"/>
    <row r="4" spans="1:248" ht="11.25">
      <c r="A4" s="300" t="s">
        <v>106</v>
      </c>
      <c r="B4" s="18" t="s">
        <v>142</v>
      </c>
      <c r="C4" s="301">
        <v>2008</v>
      </c>
      <c r="D4" s="301">
        <v>2009</v>
      </c>
      <c r="E4" s="300">
        <v>2010</v>
      </c>
      <c r="F4" s="300">
        <v>2011</v>
      </c>
      <c r="G4" s="301">
        <v>2012</v>
      </c>
      <c r="H4" s="299">
        <v>2013</v>
      </c>
      <c r="I4" s="299">
        <v>2014</v>
      </c>
      <c r="J4" s="299">
        <v>2015</v>
      </c>
      <c r="K4" s="299">
        <v>2016</v>
      </c>
      <c r="L4" s="299">
        <v>2017</v>
      </c>
      <c r="M4" s="299">
        <v>2018</v>
      </c>
    </row>
    <row r="5" spans="1:248" ht="11.25">
      <c r="A5" s="19" t="s">
        <v>143</v>
      </c>
      <c r="B5" s="20" t="s">
        <v>144</v>
      </c>
      <c r="C5" s="21">
        <f>+C6+C14</f>
        <v>611356971071</v>
      </c>
      <c r="D5" s="21">
        <f t="shared" ref="D5:M5" si="0">+D6+D14</f>
        <v>606966527358</v>
      </c>
      <c r="E5" s="21">
        <f t="shared" si="0"/>
        <v>662203879316</v>
      </c>
      <c r="F5" s="21">
        <f t="shared" si="0"/>
        <v>816160548955</v>
      </c>
      <c r="G5" s="21">
        <f t="shared" si="0"/>
        <v>956324159986</v>
      </c>
      <c r="H5" s="21">
        <f t="shared" si="0"/>
        <v>1175501480163</v>
      </c>
      <c r="I5" s="21">
        <f t="shared" si="0"/>
        <v>1181242198050</v>
      </c>
      <c r="J5" s="21">
        <f t="shared" si="0"/>
        <v>282157294000</v>
      </c>
      <c r="K5" s="21">
        <f t="shared" si="0"/>
        <v>283909411000</v>
      </c>
      <c r="L5" s="21">
        <f t="shared" si="0"/>
        <v>288714091000</v>
      </c>
      <c r="M5" s="21">
        <f t="shared" si="0"/>
        <v>290572912000</v>
      </c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X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E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  <c r="IK5" s="294"/>
      <c r="IL5" s="294"/>
      <c r="IM5" s="294"/>
      <c r="IN5" s="294"/>
    </row>
    <row r="6" spans="1:248" ht="11.25">
      <c r="A6" s="19" t="s">
        <v>145</v>
      </c>
      <c r="B6" s="20" t="s">
        <v>0</v>
      </c>
      <c r="C6" s="21">
        <f>SUM(C7:C13)</f>
        <v>410463264154</v>
      </c>
      <c r="D6" s="21">
        <f t="shared" ref="D6:G6" si="1">SUM(D7:D13)</f>
        <v>433902643778</v>
      </c>
      <c r="E6" s="21">
        <f t="shared" si="1"/>
        <v>523968868116</v>
      </c>
      <c r="F6" s="21">
        <f t="shared" si="1"/>
        <v>600658730241</v>
      </c>
      <c r="G6" s="21">
        <f t="shared" si="1"/>
        <v>639977390628</v>
      </c>
      <c r="H6" s="21">
        <f>SUM(H7:H13)</f>
        <v>745483287805</v>
      </c>
      <c r="I6" s="21">
        <f t="shared" ref="I6:L6" si="2">SUM(I7:I13)</f>
        <v>749640575446</v>
      </c>
      <c r="J6" s="21">
        <f t="shared" si="2"/>
        <v>136253400000</v>
      </c>
      <c r="K6" s="21">
        <f t="shared" si="2"/>
        <v>136253400000</v>
      </c>
      <c r="L6" s="21">
        <f t="shared" si="2"/>
        <v>136253400000</v>
      </c>
      <c r="M6" s="21">
        <f>SUM(M7:M13)</f>
        <v>136253400000</v>
      </c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</row>
    <row r="7" spans="1:248" ht="11.25">
      <c r="A7" s="23" t="s">
        <v>146</v>
      </c>
      <c r="B7" s="24" t="s">
        <v>5</v>
      </c>
      <c r="C7" s="25">
        <v>309926055084</v>
      </c>
      <c r="D7" s="302">
        <v>339675023000</v>
      </c>
      <c r="E7" s="303">
        <v>420371009427</v>
      </c>
      <c r="F7" s="303">
        <v>474666829278</v>
      </c>
      <c r="G7" s="304">
        <v>540996735761</v>
      </c>
      <c r="H7" s="305">
        <v>597730844785</v>
      </c>
      <c r="I7" s="305">
        <v>633897936446</v>
      </c>
      <c r="J7" s="305">
        <f>+'Pro-Pdpt'!M19</f>
        <v>136253400000</v>
      </c>
      <c r="K7" s="305">
        <f>+'Pro-Pdpt'!N19</f>
        <v>136253400000</v>
      </c>
      <c r="L7" s="305">
        <f>+'Pro-Pdpt'!O19</f>
        <v>136253400000</v>
      </c>
      <c r="M7" s="305">
        <f>+'Pro-Pdpt'!P19</f>
        <v>136253400000</v>
      </c>
    </row>
    <row r="8" spans="1:248" ht="11.25">
      <c r="A8" s="28" t="s">
        <v>147</v>
      </c>
      <c r="B8" s="29" t="s">
        <v>6</v>
      </c>
      <c r="C8" s="30">
        <v>3360639</v>
      </c>
      <c r="D8" s="30"/>
      <c r="E8" s="32"/>
      <c r="F8" s="32"/>
      <c r="G8" s="306">
        <v>0</v>
      </c>
      <c r="H8" s="305">
        <v>1448750000</v>
      </c>
      <c r="I8" s="305">
        <v>2000000000</v>
      </c>
      <c r="J8" s="305"/>
      <c r="K8" s="305"/>
      <c r="L8" s="305"/>
      <c r="M8" s="305"/>
    </row>
    <row r="9" spans="1:248" ht="11.25">
      <c r="A9" s="28" t="s">
        <v>148</v>
      </c>
      <c r="B9" s="29" t="s">
        <v>149</v>
      </c>
      <c r="C9" s="30">
        <v>17715623937</v>
      </c>
      <c r="D9" s="30">
        <v>36944486475</v>
      </c>
      <c r="E9" s="31">
        <v>39298203555</v>
      </c>
      <c r="F9" s="31">
        <v>60528447883</v>
      </c>
      <c r="G9" s="306">
        <v>40922373670</v>
      </c>
      <c r="H9" s="305">
        <v>62801569520</v>
      </c>
      <c r="I9" s="305">
        <v>42790840000</v>
      </c>
      <c r="J9" s="305"/>
      <c r="K9" s="305"/>
      <c r="L9" s="305"/>
      <c r="M9" s="305"/>
    </row>
    <row r="10" spans="1:248" ht="11.25">
      <c r="A10" s="28" t="s">
        <v>150</v>
      </c>
      <c r="B10" s="29" t="s">
        <v>151</v>
      </c>
      <c r="C10" s="30">
        <v>31639516025</v>
      </c>
      <c r="D10" s="30">
        <v>10889005170</v>
      </c>
      <c r="E10" s="31">
        <v>19022496861</v>
      </c>
      <c r="F10" s="31">
        <v>20885382630</v>
      </c>
      <c r="G10" s="306">
        <v>14132312373</v>
      </c>
      <c r="H10" s="305">
        <v>30470227000</v>
      </c>
      <c r="I10" s="305">
        <v>24342680000</v>
      </c>
      <c r="J10" s="305"/>
      <c r="K10" s="305"/>
      <c r="L10" s="305"/>
      <c r="M10" s="305"/>
    </row>
    <row r="11" spans="1:248" ht="11.25">
      <c r="A11" s="28" t="s">
        <v>152</v>
      </c>
      <c r="B11" s="29" t="s">
        <v>153</v>
      </c>
      <c r="C11" s="30">
        <v>48562970</v>
      </c>
      <c r="D11" s="30">
        <v>47964785</v>
      </c>
      <c r="E11" s="31">
        <v>53705198</v>
      </c>
      <c r="F11" s="31">
        <v>4298707350</v>
      </c>
      <c r="G11" s="306">
        <v>4899805654</v>
      </c>
      <c r="H11" s="305">
        <v>4329000000</v>
      </c>
      <c r="I11" s="305">
        <v>4504000000</v>
      </c>
      <c r="J11" s="305"/>
      <c r="K11" s="305"/>
      <c r="L11" s="305"/>
      <c r="M11" s="305"/>
    </row>
    <row r="12" spans="1:248" ht="11.25">
      <c r="A12" s="28" t="s">
        <v>154</v>
      </c>
      <c r="B12" s="29" t="s">
        <v>155</v>
      </c>
      <c r="C12" s="30">
        <v>51004053999</v>
      </c>
      <c r="D12" s="30">
        <v>45425697933</v>
      </c>
      <c r="E12" s="31">
        <v>43821596815</v>
      </c>
      <c r="F12" s="31">
        <v>39285513100</v>
      </c>
      <c r="G12" s="306">
        <v>38744388450</v>
      </c>
      <c r="H12" s="305">
        <v>47952896500</v>
      </c>
      <c r="I12" s="305">
        <v>41605119000</v>
      </c>
      <c r="J12" s="305"/>
      <c r="K12" s="305"/>
      <c r="L12" s="305"/>
      <c r="M12" s="305"/>
    </row>
    <row r="13" spans="1:248" ht="11.25">
      <c r="A13" s="33" t="s">
        <v>156</v>
      </c>
      <c r="B13" s="34" t="s">
        <v>157</v>
      </c>
      <c r="C13" s="35">
        <v>126091500</v>
      </c>
      <c r="D13" s="35">
        <v>920466415</v>
      </c>
      <c r="E13" s="36">
        <v>1401856260</v>
      </c>
      <c r="F13" s="36">
        <v>993850000</v>
      </c>
      <c r="G13" s="307">
        <v>281774720</v>
      </c>
      <c r="H13" s="305">
        <v>750000000</v>
      </c>
      <c r="I13" s="305">
        <v>500000000</v>
      </c>
      <c r="J13" s="305"/>
      <c r="K13" s="305"/>
      <c r="L13" s="305"/>
      <c r="M13" s="305"/>
    </row>
    <row r="14" spans="1:248" ht="11.25">
      <c r="A14" s="19" t="s">
        <v>158</v>
      </c>
      <c r="B14" s="20" t="s">
        <v>1</v>
      </c>
      <c r="C14" s="21">
        <f>SUM(C15:C17)</f>
        <v>200893706917</v>
      </c>
      <c r="D14" s="21">
        <f t="shared" ref="D14:M14" si="3">SUM(D15:D17)</f>
        <v>173063883580</v>
      </c>
      <c r="E14" s="38">
        <f t="shared" si="3"/>
        <v>138235011200</v>
      </c>
      <c r="F14" s="21">
        <f t="shared" si="3"/>
        <v>215501818714</v>
      </c>
      <c r="G14" s="21">
        <f t="shared" si="3"/>
        <v>316346769358</v>
      </c>
      <c r="H14" s="38">
        <f t="shared" si="3"/>
        <v>430018192358</v>
      </c>
      <c r="I14" s="38">
        <f t="shared" si="3"/>
        <v>431601622604</v>
      </c>
      <c r="J14" s="38">
        <f t="shared" si="3"/>
        <v>145903894000</v>
      </c>
      <c r="K14" s="38">
        <f t="shared" si="3"/>
        <v>147656011000</v>
      </c>
      <c r="L14" s="38">
        <f t="shared" si="3"/>
        <v>152460691000</v>
      </c>
      <c r="M14" s="38">
        <f t="shared" si="3"/>
        <v>154319512000</v>
      </c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</row>
    <row r="15" spans="1:248" ht="11.25">
      <c r="A15" s="23" t="s">
        <v>159</v>
      </c>
      <c r="B15" s="24" t="s">
        <v>5</v>
      </c>
      <c r="C15" s="25">
        <v>21599073361</v>
      </c>
      <c r="D15" s="302">
        <v>19694364002</v>
      </c>
      <c r="E15" s="303">
        <v>21182523181</v>
      </c>
      <c r="F15" s="303">
        <v>30724881425</v>
      </c>
      <c r="G15" s="304">
        <v>32489153703</v>
      </c>
      <c r="H15" s="305">
        <v>39541189025</v>
      </c>
      <c r="I15" s="305">
        <v>40009967955</v>
      </c>
      <c r="J15" s="305"/>
      <c r="K15" s="305"/>
      <c r="L15" s="305"/>
      <c r="M15" s="305"/>
    </row>
    <row r="16" spans="1:248" ht="11.25">
      <c r="A16" s="28" t="s">
        <v>160</v>
      </c>
      <c r="B16" s="29" t="s">
        <v>161</v>
      </c>
      <c r="C16" s="30">
        <v>60156883340</v>
      </c>
      <c r="D16" s="30">
        <v>58263468211</v>
      </c>
      <c r="E16" s="31">
        <v>72218629606</v>
      </c>
      <c r="F16" s="31">
        <v>91742510291</v>
      </c>
      <c r="G16" s="306">
        <v>121777498747</v>
      </c>
      <c r="H16" s="305">
        <v>162157140735</v>
      </c>
      <c r="I16" s="305">
        <v>163897627099</v>
      </c>
      <c r="J16" s="305">
        <f>+'Pro-Pdpt'!M20+'Pro-Pdpt'!M14+24000000000</f>
        <v>145903894000</v>
      </c>
      <c r="K16" s="305">
        <f>+'Pro-Pdpt'!N20+'Pro-Pdpt'!N14+24000000000</f>
        <v>147656011000</v>
      </c>
      <c r="L16" s="305">
        <f>+'Pro-Pdpt'!O20+'Pro-Pdpt'!O14+24000000000</f>
        <v>152460691000</v>
      </c>
      <c r="M16" s="305">
        <f>+'Pro-Pdpt'!P20+'Pro-Pdpt'!P14+24000000000</f>
        <v>154319512000</v>
      </c>
    </row>
    <row r="17" spans="1:15" ht="11.25">
      <c r="A17" s="33" t="s">
        <v>162</v>
      </c>
      <c r="B17" s="34" t="s">
        <v>163</v>
      </c>
      <c r="C17" s="35">
        <v>119137750216</v>
      </c>
      <c r="D17" s="35">
        <v>95106051367</v>
      </c>
      <c r="E17" s="36">
        <v>44833858413</v>
      </c>
      <c r="F17" s="36">
        <v>93034426998</v>
      </c>
      <c r="G17" s="307">
        <v>162080116908</v>
      </c>
      <c r="H17" s="305">
        <v>228319862598</v>
      </c>
      <c r="I17" s="305">
        <v>227694027550</v>
      </c>
      <c r="J17" s="305"/>
      <c r="K17" s="305"/>
      <c r="L17" s="305"/>
      <c r="M17" s="305"/>
    </row>
    <row r="18" spans="1:15" ht="11.25">
      <c r="A18" s="308"/>
      <c r="B18" s="309"/>
    </row>
    <row r="19" spans="1:15" s="299" customFormat="1" ht="10.5">
      <c r="A19" s="296"/>
      <c r="B19" s="297"/>
      <c r="C19" s="298"/>
      <c r="D19" s="298"/>
      <c r="E19" s="310"/>
      <c r="F19" s="310"/>
      <c r="G19" s="311"/>
      <c r="I19" s="305"/>
    </row>
    <row r="20" spans="1:15" s="299" customFormat="1" ht="10.5">
      <c r="A20" s="296"/>
      <c r="B20" s="297"/>
      <c r="C20" s="312"/>
      <c r="D20" s="312"/>
      <c r="E20" s="311"/>
      <c r="F20" s="311"/>
      <c r="G20" s="313"/>
      <c r="I20" s="305"/>
    </row>
    <row r="21" spans="1:15" s="299" customFormat="1" ht="10.5">
      <c r="A21" s="296"/>
      <c r="B21" s="297"/>
      <c r="C21" s="312" t="s">
        <v>139</v>
      </c>
      <c r="D21" s="312"/>
      <c r="E21" s="311"/>
      <c r="F21" s="311"/>
      <c r="G21" s="313">
        <v>15000000</v>
      </c>
      <c r="I21" s="305">
        <v>480000000000</v>
      </c>
      <c r="J21" s="305">
        <f>+I21*1.0825</f>
        <v>519600000000</v>
      </c>
      <c r="K21" s="305">
        <f>+J21*1.0825</f>
        <v>562467000000</v>
      </c>
      <c r="L21" s="305">
        <f t="shared" ref="L21:M21" si="4">+K21*1.0825</f>
        <v>608870527500</v>
      </c>
      <c r="M21" s="305">
        <f t="shared" si="4"/>
        <v>659102346018.75</v>
      </c>
      <c r="N21" s="305"/>
      <c r="O21" s="305"/>
    </row>
    <row r="22" spans="1:15" s="299" customFormat="1" ht="10.5">
      <c r="A22" s="296"/>
      <c r="B22" s="297"/>
      <c r="C22" s="312" t="s">
        <v>139</v>
      </c>
      <c r="D22" s="312"/>
      <c r="E22" s="311"/>
      <c r="F22" s="311"/>
      <c r="G22" s="313">
        <v>25000000</v>
      </c>
      <c r="I22" s="305"/>
    </row>
    <row r="23" spans="1:15" s="299" customFormat="1" ht="10.5">
      <c r="A23" s="296"/>
      <c r="B23" s="297"/>
      <c r="C23" s="312"/>
      <c r="D23" s="312"/>
      <c r="E23" s="313"/>
      <c r="F23" s="313"/>
      <c r="G23" s="311"/>
      <c r="I23" s="305">
        <f>+I7-I21</f>
        <v>153897936446</v>
      </c>
    </row>
    <row r="24" spans="1:15" s="299" customFormat="1" ht="10.5">
      <c r="A24" s="296"/>
      <c r="B24" s="297"/>
      <c r="C24" s="312"/>
      <c r="D24" s="312"/>
      <c r="E24" s="313">
        <f>SUM(E19:E23)</f>
        <v>0</v>
      </c>
      <c r="F24" s="313"/>
      <c r="G24" s="313">
        <f>SUM(G19:G23)</f>
        <v>40000000</v>
      </c>
      <c r="I24" s="305">
        <f>+J7</f>
        <v>136253400000</v>
      </c>
    </row>
    <row r="25" spans="1:15" s="299" customFormat="1" ht="10.5">
      <c r="A25" s="296"/>
      <c r="B25" s="297"/>
      <c r="C25" s="312"/>
      <c r="D25" s="312"/>
      <c r="E25" s="311"/>
      <c r="F25" s="311"/>
      <c r="G25" s="311"/>
      <c r="I25" s="305"/>
    </row>
    <row r="26" spans="1:15" s="299" customFormat="1" ht="10.5">
      <c r="A26" s="296"/>
      <c r="B26" s="297"/>
      <c r="C26" s="312"/>
      <c r="D26" s="312"/>
      <c r="E26" s="547">
        <f>G24+E24</f>
        <v>40000000</v>
      </c>
      <c r="F26" s="547"/>
      <c r="G26" s="547"/>
      <c r="I26" s="305">
        <f>+I23-I24</f>
        <v>17644536446</v>
      </c>
    </row>
    <row r="27" spans="1:15" s="299" customFormat="1" ht="10.5">
      <c r="A27" s="296"/>
      <c r="B27" s="297"/>
      <c r="C27" s="312"/>
      <c r="D27" s="312"/>
      <c r="E27" s="311"/>
      <c r="F27" s="311"/>
      <c r="G27" s="311"/>
      <c r="I27" s="305"/>
    </row>
    <row r="28" spans="1:15" s="299" customFormat="1" ht="10.5">
      <c r="A28" s="296"/>
      <c r="B28" s="297"/>
      <c r="C28" s="312"/>
      <c r="D28" s="312"/>
      <c r="E28" s="311"/>
      <c r="F28" s="311"/>
      <c r="G28" s="311"/>
      <c r="I28" s="305"/>
    </row>
    <row r="29" spans="1:15" ht="20.100000000000001" customHeight="1">
      <c r="I29" s="305"/>
    </row>
    <row r="30" spans="1:15" ht="20.100000000000001" customHeight="1">
      <c r="I30" s="305"/>
    </row>
  </sheetData>
  <mergeCells count="3">
    <mergeCell ref="A1:G1"/>
    <mergeCell ref="A2:G2"/>
    <mergeCell ref="E26:G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3:AJ80"/>
  <sheetViews>
    <sheetView topLeftCell="A49" workbookViewId="0">
      <pane xSplit="3" topLeftCell="D1" activePane="topRight" state="frozen"/>
      <selection pane="topRight" activeCell="G49" sqref="G49"/>
    </sheetView>
  </sheetViews>
  <sheetFormatPr defaultRowHeight="12.75"/>
  <cols>
    <col min="1" max="2" width="9.140625" style="396"/>
    <col min="3" max="3" width="49.5703125" style="396" customWidth="1"/>
    <col min="4" max="36" width="15.7109375" style="397" customWidth="1"/>
    <col min="37" max="16384" width="9.140625" style="396"/>
  </cols>
  <sheetData>
    <row r="3" spans="2:36" s="398" customFormat="1" ht="15" customHeight="1">
      <c r="B3" s="550" t="s">
        <v>509</v>
      </c>
      <c r="C3" s="548" t="s">
        <v>31</v>
      </c>
      <c r="D3" s="558">
        <v>2008</v>
      </c>
      <c r="E3" s="558"/>
      <c r="F3" s="558"/>
      <c r="G3" s="559">
        <v>2009</v>
      </c>
      <c r="H3" s="559"/>
      <c r="I3" s="559"/>
      <c r="J3" s="560">
        <v>2010</v>
      </c>
      <c r="K3" s="560"/>
      <c r="L3" s="560"/>
      <c r="M3" s="561">
        <v>2011</v>
      </c>
      <c r="N3" s="561"/>
      <c r="O3" s="561"/>
      <c r="P3" s="562">
        <v>2012</v>
      </c>
      <c r="Q3" s="562"/>
      <c r="R3" s="562"/>
      <c r="S3" s="557">
        <v>2013</v>
      </c>
      <c r="T3" s="557"/>
      <c r="U3" s="557"/>
      <c r="V3" s="552">
        <v>2014</v>
      </c>
      <c r="W3" s="552"/>
      <c r="X3" s="552"/>
      <c r="Y3" s="553">
        <v>2015</v>
      </c>
      <c r="Z3" s="553"/>
      <c r="AA3" s="553"/>
      <c r="AB3" s="554">
        <v>2016</v>
      </c>
      <c r="AC3" s="554"/>
      <c r="AD3" s="554"/>
      <c r="AE3" s="555">
        <v>2017</v>
      </c>
      <c r="AF3" s="555"/>
      <c r="AG3" s="555"/>
      <c r="AH3" s="556">
        <v>2018</v>
      </c>
      <c r="AI3" s="556"/>
      <c r="AJ3" s="556"/>
    </row>
    <row r="4" spans="2:36" s="400" customFormat="1">
      <c r="B4" s="551"/>
      <c r="C4" s="549"/>
      <c r="D4" s="401" t="s">
        <v>16</v>
      </c>
      <c r="E4" s="401" t="s">
        <v>17</v>
      </c>
      <c r="F4" s="401" t="s">
        <v>18</v>
      </c>
      <c r="G4" s="401" t="s">
        <v>16</v>
      </c>
      <c r="H4" s="401" t="s">
        <v>17</v>
      </c>
      <c r="I4" s="401" t="s">
        <v>18</v>
      </c>
      <c r="J4" s="401" t="s">
        <v>16</v>
      </c>
      <c r="K4" s="401" t="s">
        <v>17</v>
      </c>
      <c r="L4" s="401" t="s">
        <v>18</v>
      </c>
      <c r="M4" s="401" t="s">
        <v>16</v>
      </c>
      <c r="N4" s="401" t="s">
        <v>17</v>
      </c>
      <c r="O4" s="401" t="s">
        <v>18</v>
      </c>
      <c r="P4" s="401" t="s">
        <v>16</v>
      </c>
      <c r="Q4" s="401" t="s">
        <v>17</v>
      </c>
      <c r="R4" s="401" t="s">
        <v>18</v>
      </c>
      <c r="S4" s="399" t="s">
        <v>16</v>
      </c>
      <c r="T4" s="399" t="s">
        <v>17</v>
      </c>
      <c r="U4" s="399" t="s">
        <v>18</v>
      </c>
      <c r="V4" s="399" t="s">
        <v>16</v>
      </c>
      <c r="W4" s="399" t="s">
        <v>17</v>
      </c>
      <c r="X4" s="399" t="s">
        <v>18</v>
      </c>
      <c r="Y4" s="399" t="s">
        <v>16</v>
      </c>
      <c r="Z4" s="399" t="s">
        <v>17</v>
      </c>
      <c r="AA4" s="399" t="s">
        <v>18</v>
      </c>
      <c r="AB4" s="399" t="s">
        <v>16</v>
      </c>
      <c r="AC4" s="399" t="s">
        <v>17</v>
      </c>
      <c r="AD4" s="399" t="s">
        <v>18</v>
      </c>
      <c r="AE4" s="399" t="s">
        <v>16</v>
      </c>
      <c r="AF4" s="399" t="s">
        <v>17</v>
      </c>
      <c r="AG4" s="399" t="s">
        <v>18</v>
      </c>
      <c r="AH4" s="399" t="s">
        <v>16</v>
      </c>
      <c r="AI4" s="399" t="s">
        <v>17</v>
      </c>
      <c r="AJ4" s="399" t="s">
        <v>18</v>
      </c>
    </row>
    <row r="5" spans="2:36">
      <c r="B5" s="405"/>
      <c r="C5" s="405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</row>
    <row r="6" spans="2:36">
      <c r="B6" s="406">
        <v>1</v>
      </c>
      <c r="C6" s="407" t="s">
        <v>32</v>
      </c>
      <c r="D6" s="408">
        <v>1198937868</v>
      </c>
      <c r="E6" s="408">
        <v>803382000</v>
      </c>
      <c r="F6" s="408">
        <v>753782150</v>
      </c>
      <c r="G6" s="408">
        <v>1045341763</v>
      </c>
      <c r="H6" s="408">
        <v>88175000</v>
      </c>
      <c r="I6" s="408"/>
      <c r="J6" s="408">
        <v>1066063401</v>
      </c>
      <c r="K6" s="408">
        <v>82218500</v>
      </c>
      <c r="L6" s="408">
        <v>496302000</v>
      </c>
      <c r="M6" s="408">
        <v>938561613</v>
      </c>
      <c r="N6" s="408">
        <v>359330600</v>
      </c>
      <c r="O6" s="408"/>
      <c r="P6" s="408">
        <v>953693894</v>
      </c>
      <c r="Q6" s="408">
        <v>104743000</v>
      </c>
      <c r="R6" s="408">
        <v>633695600</v>
      </c>
      <c r="S6" s="397">
        <v>1042935000</v>
      </c>
      <c r="T6" s="397">
        <v>1525000000</v>
      </c>
      <c r="V6" s="397">
        <v>1044208000</v>
      </c>
      <c r="W6" s="397">
        <v>525500000</v>
      </c>
      <c r="X6" s="397">
        <v>1050200000</v>
      </c>
    </row>
    <row r="7" spans="2:36">
      <c r="B7" s="410">
        <v>2</v>
      </c>
      <c r="C7" s="403" t="s">
        <v>33</v>
      </c>
      <c r="D7" s="411">
        <v>296995401</v>
      </c>
      <c r="E7" s="411">
        <v>958454827</v>
      </c>
      <c r="F7" s="411">
        <v>106907000</v>
      </c>
      <c r="G7" s="411">
        <v>216461119</v>
      </c>
      <c r="H7" s="411">
        <v>14244250</v>
      </c>
      <c r="I7" s="411"/>
      <c r="J7" s="411">
        <v>179696780</v>
      </c>
      <c r="K7" s="411">
        <v>43835900</v>
      </c>
      <c r="L7" s="411">
        <v>78586450</v>
      </c>
      <c r="M7" s="411">
        <v>178473976</v>
      </c>
      <c r="N7" s="411">
        <v>44222800</v>
      </c>
      <c r="O7" s="411"/>
      <c r="P7" s="411">
        <v>208457192</v>
      </c>
      <c r="Q7" s="411">
        <v>26842100</v>
      </c>
      <c r="R7" s="411">
        <v>87139000</v>
      </c>
      <c r="S7" s="397">
        <v>268714300</v>
      </c>
      <c r="T7" s="397">
        <v>420717400</v>
      </c>
      <c r="V7" s="397">
        <v>249455950</v>
      </c>
      <c r="W7" s="397">
        <v>110225000</v>
      </c>
      <c r="X7" s="397">
        <v>187630000</v>
      </c>
    </row>
    <row r="8" spans="2:36">
      <c r="B8" s="410">
        <v>3</v>
      </c>
      <c r="C8" s="403" t="s">
        <v>34</v>
      </c>
      <c r="D8" s="411">
        <v>4452647260</v>
      </c>
      <c r="E8" s="411">
        <v>150868300</v>
      </c>
      <c r="F8" s="411">
        <v>44730000</v>
      </c>
      <c r="G8" s="411">
        <v>6236966084</v>
      </c>
      <c r="H8" s="411">
        <v>198147380</v>
      </c>
      <c r="I8" s="411"/>
      <c r="J8" s="411">
        <v>8695197341</v>
      </c>
      <c r="K8" s="411">
        <v>208475423</v>
      </c>
      <c r="L8" s="411">
        <v>29685000</v>
      </c>
      <c r="M8" s="411">
        <v>10347550304</v>
      </c>
      <c r="N8" s="411">
        <v>150976403</v>
      </c>
      <c r="O8" s="411"/>
      <c r="P8" s="411">
        <v>42900000</v>
      </c>
      <c r="Q8" s="411"/>
      <c r="R8" s="411"/>
      <c r="S8" s="397">
        <v>47190000</v>
      </c>
      <c r="V8" s="397">
        <v>47240000</v>
      </c>
    </row>
    <row r="9" spans="2:36">
      <c r="B9" s="410">
        <v>4</v>
      </c>
      <c r="C9" s="403" t="s">
        <v>35</v>
      </c>
      <c r="D9" s="411">
        <f>217313673+1609808773</f>
        <v>1827122446</v>
      </c>
      <c r="E9" s="411">
        <f>44024815+1755604800</f>
        <v>1799629615</v>
      </c>
      <c r="F9" s="411">
        <f>19641600+61536000</f>
        <v>81177600</v>
      </c>
      <c r="G9" s="411">
        <v>1348953765</v>
      </c>
      <c r="H9" s="411">
        <v>2795572950</v>
      </c>
      <c r="I9" s="411"/>
      <c r="J9" s="411">
        <v>951963005</v>
      </c>
      <c r="K9" s="411">
        <v>18393500</v>
      </c>
      <c r="L9" s="411">
        <v>38803400</v>
      </c>
      <c r="M9" s="411">
        <v>840533660</v>
      </c>
      <c r="N9" s="411">
        <v>43373000</v>
      </c>
      <c r="O9" s="411"/>
      <c r="P9" s="411">
        <v>771721322</v>
      </c>
      <c r="Q9" s="411">
        <v>38155000</v>
      </c>
      <c r="R9" s="411">
        <v>58130000</v>
      </c>
      <c r="S9" s="397">
        <v>1008560400</v>
      </c>
      <c r="T9" s="397">
        <v>39000000</v>
      </c>
      <c r="V9" s="397">
        <v>973920550</v>
      </c>
      <c r="W9" s="397">
        <v>1761717500</v>
      </c>
      <c r="X9" s="397">
        <v>79390000</v>
      </c>
    </row>
    <row r="10" spans="2:36">
      <c r="B10" s="410">
        <v>5</v>
      </c>
      <c r="C10" s="403" t="s">
        <v>36</v>
      </c>
      <c r="D10" s="411">
        <v>216604010</v>
      </c>
      <c r="E10" s="411">
        <v>132208025</v>
      </c>
      <c r="F10" s="411">
        <v>4750000</v>
      </c>
      <c r="G10" s="411">
        <v>163803228</v>
      </c>
      <c r="H10" s="411">
        <v>99844744</v>
      </c>
      <c r="I10" s="411"/>
      <c r="J10" s="411">
        <v>194783942</v>
      </c>
      <c r="K10" s="411">
        <v>192278726</v>
      </c>
      <c r="L10" s="411">
        <v>3600000</v>
      </c>
      <c r="M10" s="411">
        <v>181800715</v>
      </c>
      <c r="N10" s="411">
        <v>82474145</v>
      </c>
      <c r="O10" s="411"/>
      <c r="P10" s="411">
        <v>120582632</v>
      </c>
      <c r="Q10" s="411">
        <v>78257647</v>
      </c>
      <c r="R10" s="411">
        <v>5400000</v>
      </c>
      <c r="S10" s="397">
        <v>209452600</v>
      </c>
      <c r="T10" s="397">
        <v>5820745000</v>
      </c>
      <c r="V10" s="397">
        <v>283593000</v>
      </c>
      <c r="W10" s="397">
        <v>2904783000</v>
      </c>
      <c r="X10" s="397">
        <v>8200000</v>
      </c>
    </row>
    <row r="11" spans="2:36">
      <c r="B11" s="410">
        <v>6</v>
      </c>
      <c r="C11" s="403" t="s">
        <v>37</v>
      </c>
      <c r="D11" s="411">
        <v>694246605</v>
      </c>
      <c r="E11" s="411">
        <v>51229000</v>
      </c>
      <c r="F11" s="411">
        <v>32803500</v>
      </c>
      <c r="G11" s="411">
        <v>501703943</v>
      </c>
      <c r="H11" s="411">
        <v>59012000</v>
      </c>
      <c r="I11" s="411">
        <v>11000000</v>
      </c>
      <c r="J11" s="411">
        <v>434098755</v>
      </c>
      <c r="K11" s="411">
        <v>53320915</v>
      </c>
      <c r="L11" s="411">
        <v>9400000</v>
      </c>
      <c r="M11" s="411">
        <v>310353873</v>
      </c>
      <c r="N11" s="411">
        <v>94923836</v>
      </c>
      <c r="O11" s="411"/>
      <c r="P11" s="411">
        <v>304739095</v>
      </c>
      <c r="Q11" s="411">
        <v>101333531</v>
      </c>
      <c r="R11" s="411">
        <v>71451000</v>
      </c>
      <c r="S11" s="397">
        <v>397662300</v>
      </c>
      <c r="T11" s="397">
        <v>318394000</v>
      </c>
      <c r="V11" s="397">
        <v>351545000</v>
      </c>
      <c r="W11" s="397">
        <v>661586000</v>
      </c>
      <c r="X11" s="397">
        <v>27874000</v>
      </c>
    </row>
    <row r="12" spans="2:36">
      <c r="B12" s="410">
        <v>7</v>
      </c>
      <c r="C12" s="403" t="s">
        <v>38</v>
      </c>
      <c r="D12" s="411">
        <v>84156391</v>
      </c>
      <c r="E12" s="411">
        <v>15944500</v>
      </c>
      <c r="F12" s="411">
        <v>3275000</v>
      </c>
      <c r="G12" s="411">
        <v>91933379</v>
      </c>
      <c r="H12" s="411">
        <v>19264100</v>
      </c>
      <c r="I12" s="411"/>
      <c r="J12" s="411">
        <v>121660395</v>
      </c>
      <c r="K12" s="411">
        <v>38214800</v>
      </c>
      <c r="L12" s="411">
        <v>4350000</v>
      </c>
      <c r="M12" s="411">
        <v>126856425</v>
      </c>
      <c r="N12" s="411">
        <v>21912000</v>
      </c>
      <c r="O12" s="411"/>
      <c r="P12" s="411">
        <v>141981828</v>
      </c>
      <c r="Q12" s="411">
        <v>17546250</v>
      </c>
      <c r="R12" s="411">
        <v>4800000</v>
      </c>
      <c r="S12" s="397">
        <v>182498300</v>
      </c>
      <c r="T12" s="397">
        <v>122000000</v>
      </c>
      <c r="V12" s="397">
        <v>171501200</v>
      </c>
      <c r="W12" s="397">
        <v>113500000</v>
      </c>
      <c r="X12" s="397">
        <v>6400000</v>
      </c>
    </row>
    <row r="13" spans="2:36">
      <c r="B13" s="410">
        <v>8</v>
      </c>
      <c r="C13" s="403" t="s">
        <v>39</v>
      </c>
      <c r="D13" s="411">
        <v>977112092</v>
      </c>
      <c r="E13" s="411">
        <v>71610000</v>
      </c>
      <c r="F13" s="411">
        <v>4896000</v>
      </c>
      <c r="G13" s="411">
        <v>706323865</v>
      </c>
      <c r="H13" s="411">
        <v>15351000</v>
      </c>
      <c r="I13" s="411"/>
      <c r="J13" s="411">
        <v>897349383</v>
      </c>
      <c r="K13" s="411">
        <v>36210750</v>
      </c>
      <c r="L13" s="411">
        <v>3315000</v>
      </c>
      <c r="M13" s="411">
        <v>759287733</v>
      </c>
      <c r="N13" s="411">
        <v>17413000</v>
      </c>
      <c r="O13" s="411"/>
      <c r="P13" s="411">
        <v>615686050</v>
      </c>
      <c r="Q13" s="411">
        <v>118941000</v>
      </c>
      <c r="R13" s="411">
        <v>6000000</v>
      </c>
      <c r="S13" s="397">
        <v>683337500</v>
      </c>
      <c r="T13" s="397">
        <v>84455800</v>
      </c>
      <c r="V13" s="397">
        <v>948613500</v>
      </c>
      <c r="W13" s="397">
        <v>127400000</v>
      </c>
      <c r="X13" s="397">
        <v>8200000</v>
      </c>
    </row>
    <row r="14" spans="2:36">
      <c r="B14" s="410">
        <v>9</v>
      </c>
      <c r="C14" s="403" t="s">
        <v>40</v>
      </c>
      <c r="D14" s="411">
        <v>63193084</v>
      </c>
      <c r="E14" s="411">
        <v>85173670</v>
      </c>
      <c r="F14" s="411">
        <v>20357750</v>
      </c>
      <c r="G14" s="411">
        <v>81137772</v>
      </c>
      <c r="H14" s="411">
        <v>168521880</v>
      </c>
      <c r="I14" s="411">
        <v>550000</v>
      </c>
      <c r="J14" s="411">
        <v>113215360</v>
      </c>
      <c r="K14" s="411">
        <v>90194145</v>
      </c>
      <c r="L14" s="411">
        <v>14784000</v>
      </c>
      <c r="M14" s="411">
        <v>226196756</v>
      </c>
      <c r="N14" s="411">
        <v>82735625</v>
      </c>
      <c r="O14" s="411"/>
      <c r="P14" s="411">
        <v>231694682</v>
      </c>
      <c r="Q14" s="411">
        <v>185170057</v>
      </c>
      <c r="R14" s="411">
        <v>18265200</v>
      </c>
      <c r="S14" s="397">
        <v>278194825</v>
      </c>
      <c r="T14" s="397">
        <v>1018703410</v>
      </c>
      <c r="V14" s="397">
        <v>303258675</v>
      </c>
      <c r="W14" s="397">
        <v>150000000</v>
      </c>
      <c r="X14" s="397">
        <v>23000000</v>
      </c>
    </row>
    <row r="15" spans="2:36">
      <c r="B15" s="410">
        <v>10</v>
      </c>
      <c r="C15" s="403" t="s">
        <v>41</v>
      </c>
      <c r="D15" s="411">
        <v>66534504</v>
      </c>
      <c r="E15" s="411">
        <v>44233240</v>
      </c>
      <c r="F15" s="411">
        <v>4068750</v>
      </c>
      <c r="G15" s="411">
        <v>74011200</v>
      </c>
      <c r="H15" s="411">
        <v>56219770</v>
      </c>
      <c r="I15" s="411">
        <v>775000</v>
      </c>
      <c r="J15" s="411">
        <v>99758055</v>
      </c>
      <c r="K15" s="411">
        <v>57581830</v>
      </c>
      <c r="L15" s="411">
        <v>3600000</v>
      </c>
      <c r="M15" s="411">
        <v>122494483</v>
      </c>
      <c r="N15" s="411">
        <v>51153830</v>
      </c>
      <c r="O15" s="411"/>
      <c r="P15" s="411">
        <v>125254163</v>
      </c>
      <c r="Q15" s="411">
        <v>73652730</v>
      </c>
      <c r="R15" s="411">
        <v>5700000</v>
      </c>
      <c r="S15" s="397">
        <v>173108140</v>
      </c>
      <c r="T15" s="397">
        <v>79500000</v>
      </c>
      <c r="V15" s="397">
        <v>195836200</v>
      </c>
      <c r="W15" s="397">
        <v>1439925000</v>
      </c>
      <c r="X15" s="397">
        <v>6600000</v>
      </c>
    </row>
    <row r="16" spans="2:36">
      <c r="B16" s="410">
        <v>11</v>
      </c>
      <c r="C16" s="403" t="s">
        <v>42</v>
      </c>
      <c r="D16" s="411">
        <v>163399221</v>
      </c>
      <c r="E16" s="411">
        <v>52325000</v>
      </c>
      <c r="F16" s="411">
        <v>8640000</v>
      </c>
      <c r="G16" s="411">
        <v>184618411</v>
      </c>
      <c r="H16" s="411">
        <v>31323000</v>
      </c>
      <c r="I16" s="411">
        <v>250000</v>
      </c>
      <c r="J16" s="411">
        <v>201588593</v>
      </c>
      <c r="K16" s="411">
        <v>61697500</v>
      </c>
      <c r="L16" s="411">
        <v>6850000</v>
      </c>
      <c r="M16" s="411">
        <v>224898448</v>
      </c>
      <c r="N16" s="411">
        <v>37997000</v>
      </c>
      <c r="O16" s="411"/>
      <c r="P16" s="411">
        <v>216203605</v>
      </c>
      <c r="Q16" s="411">
        <v>139308300</v>
      </c>
      <c r="R16" s="411">
        <v>9715000</v>
      </c>
      <c r="S16" s="397">
        <v>286930000</v>
      </c>
      <c r="T16" s="397">
        <v>111880000</v>
      </c>
      <c r="V16" s="397">
        <v>245912200</v>
      </c>
      <c r="W16" s="397">
        <v>133084000</v>
      </c>
      <c r="X16" s="397">
        <v>11200000</v>
      </c>
    </row>
    <row r="17" spans="2:24">
      <c r="B17" s="410">
        <v>12</v>
      </c>
      <c r="C17" s="403" t="s">
        <v>43</v>
      </c>
      <c r="D17" s="411"/>
      <c r="E17" s="411"/>
      <c r="F17" s="411"/>
      <c r="G17" s="411">
        <f>75186928+68256500</f>
        <v>143443428</v>
      </c>
      <c r="H17" s="411">
        <f>28400000+14813000</f>
        <v>43213000</v>
      </c>
      <c r="I17" s="411">
        <v>3850000</v>
      </c>
      <c r="J17" s="411">
        <f>65000370+67798990</f>
        <v>132799360</v>
      </c>
      <c r="K17" s="411">
        <f>29712670+28575500</f>
        <v>58288170</v>
      </c>
      <c r="L17" s="411">
        <f>1080000+2700000</f>
        <v>3780000</v>
      </c>
      <c r="M17" s="411">
        <f>31941701+98063240+50925963</f>
        <v>180930904</v>
      </c>
      <c r="N17" s="411">
        <f>19455000+13452500+9505000</f>
        <v>42412500</v>
      </c>
      <c r="O17" s="411"/>
      <c r="P17" s="411">
        <v>165211880</v>
      </c>
      <c r="Q17" s="411">
        <v>121931220</v>
      </c>
      <c r="R17" s="411">
        <v>6280500</v>
      </c>
      <c r="S17" s="397">
        <v>273316600</v>
      </c>
      <c r="T17" s="397">
        <v>193227000</v>
      </c>
      <c r="U17" s="397">
        <v>4000000</v>
      </c>
      <c r="V17" s="397">
        <v>192375450</v>
      </c>
      <c r="W17" s="397">
        <v>161894000</v>
      </c>
      <c r="X17" s="397">
        <v>4000000</v>
      </c>
    </row>
    <row r="18" spans="2:24">
      <c r="B18" s="410">
        <v>13</v>
      </c>
      <c r="C18" s="403" t="s">
        <v>44</v>
      </c>
      <c r="D18" s="411"/>
      <c r="E18" s="411"/>
      <c r="F18" s="411"/>
      <c r="G18" s="411">
        <v>140071064</v>
      </c>
      <c r="H18" s="411">
        <v>6161000</v>
      </c>
      <c r="I18" s="411">
        <v>0</v>
      </c>
      <c r="J18" s="411">
        <v>158257240</v>
      </c>
      <c r="K18" s="411">
        <v>25161900</v>
      </c>
      <c r="L18" s="411">
        <v>4984000</v>
      </c>
      <c r="M18" s="411">
        <v>160385025</v>
      </c>
      <c r="N18" s="411">
        <v>28480000</v>
      </c>
      <c r="O18" s="411"/>
      <c r="P18" s="411">
        <v>167929419</v>
      </c>
      <c r="Q18" s="411">
        <v>33070500</v>
      </c>
      <c r="R18" s="411">
        <v>7800000</v>
      </c>
      <c r="S18" s="397">
        <v>204970800</v>
      </c>
      <c r="T18" s="397">
        <v>41630000</v>
      </c>
      <c r="V18" s="397">
        <v>192255300</v>
      </c>
      <c r="W18" s="397">
        <v>31775000</v>
      </c>
      <c r="X18" s="397">
        <v>9400000</v>
      </c>
    </row>
    <row r="19" spans="2:24">
      <c r="B19" s="410">
        <v>14</v>
      </c>
      <c r="C19" s="403" t="s">
        <v>45</v>
      </c>
      <c r="D19" s="411">
        <v>1268097002</v>
      </c>
      <c r="E19" s="411">
        <v>8615200</v>
      </c>
      <c r="F19" s="411">
        <v>178835900</v>
      </c>
      <c r="G19" s="411">
        <v>1075848992</v>
      </c>
      <c r="H19" s="411">
        <v>3979500</v>
      </c>
      <c r="I19" s="411">
        <v>3000000</v>
      </c>
      <c r="J19" s="411">
        <v>239877335</v>
      </c>
      <c r="K19" s="411">
        <v>19557500</v>
      </c>
      <c r="L19" s="411">
        <v>167079500</v>
      </c>
      <c r="M19" s="411">
        <v>99102040</v>
      </c>
      <c r="N19" s="411">
        <v>18345000</v>
      </c>
      <c r="O19" s="411"/>
      <c r="P19" s="411">
        <v>117972200</v>
      </c>
      <c r="Q19" s="411">
        <v>42375500</v>
      </c>
      <c r="R19" s="411">
        <v>166916800</v>
      </c>
      <c r="S19" s="397">
        <v>201922800</v>
      </c>
      <c r="T19" s="397">
        <v>163000000</v>
      </c>
      <c r="U19" s="397">
        <v>2500000</v>
      </c>
      <c r="V19" s="397">
        <v>199928000</v>
      </c>
      <c r="W19" s="397">
        <v>96120000</v>
      </c>
      <c r="X19" s="397">
        <v>213825000</v>
      </c>
    </row>
    <row r="20" spans="2:24">
      <c r="B20" s="410">
        <v>15</v>
      </c>
      <c r="C20" s="403" t="s">
        <v>46</v>
      </c>
      <c r="D20" s="411">
        <v>64775583</v>
      </c>
      <c r="E20" s="411">
        <v>7549900</v>
      </c>
      <c r="F20" s="411">
        <v>2125000</v>
      </c>
      <c r="G20" s="411">
        <v>55077912</v>
      </c>
      <c r="H20" s="411">
        <v>8785785</v>
      </c>
      <c r="I20" s="411">
        <v>750000</v>
      </c>
      <c r="J20" s="411">
        <v>46981391</v>
      </c>
      <c r="K20" s="411">
        <v>14933000</v>
      </c>
      <c r="L20" s="411">
        <v>1620000</v>
      </c>
      <c r="M20" s="411">
        <v>56951458</v>
      </c>
      <c r="N20" s="411">
        <v>15969150</v>
      </c>
      <c r="O20" s="411"/>
      <c r="P20" s="411">
        <v>79219738</v>
      </c>
      <c r="Q20" s="411">
        <v>84095000</v>
      </c>
      <c r="R20" s="411">
        <v>2800000</v>
      </c>
      <c r="S20" s="397">
        <v>104520000</v>
      </c>
      <c r="T20" s="397">
        <v>73750000</v>
      </c>
      <c r="V20" s="397">
        <v>93073750</v>
      </c>
      <c r="W20" s="397">
        <v>27000000</v>
      </c>
      <c r="X20" s="397">
        <v>3200000</v>
      </c>
    </row>
    <row r="21" spans="2:24">
      <c r="B21" s="410">
        <v>16</v>
      </c>
      <c r="C21" s="403" t="s">
        <v>47</v>
      </c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>
        <v>0</v>
      </c>
      <c r="Q21" s="411">
        <v>0</v>
      </c>
      <c r="R21" s="411">
        <v>0</v>
      </c>
      <c r="V21" s="397">
        <v>0</v>
      </c>
      <c r="W21" s="397">
        <v>0</v>
      </c>
      <c r="X21" s="397">
        <v>0</v>
      </c>
    </row>
    <row r="22" spans="2:24">
      <c r="B22" s="410">
        <v>17</v>
      </c>
      <c r="C22" s="403" t="s">
        <v>48</v>
      </c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>
        <v>0</v>
      </c>
      <c r="Q22" s="411">
        <v>0</v>
      </c>
      <c r="R22" s="411">
        <v>0</v>
      </c>
      <c r="V22" s="397">
        <v>0</v>
      </c>
      <c r="W22" s="397">
        <v>0</v>
      </c>
      <c r="X22" s="397">
        <v>0</v>
      </c>
    </row>
    <row r="23" spans="2:24">
      <c r="B23" s="410">
        <v>18</v>
      </c>
      <c r="C23" s="403" t="s">
        <v>49</v>
      </c>
      <c r="D23" s="411">
        <v>11104301297</v>
      </c>
      <c r="E23" s="411">
        <v>3271886905</v>
      </c>
      <c r="F23" s="411">
        <v>127315000</v>
      </c>
      <c r="G23" s="411">
        <v>11752263150</v>
      </c>
      <c r="H23" s="411">
        <v>2100869900</v>
      </c>
      <c r="I23" s="411">
        <v>53589250</v>
      </c>
      <c r="J23" s="411">
        <v>12237784176</v>
      </c>
      <c r="K23" s="411">
        <v>2890662995</v>
      </c>
      <c r="L23" s="411">
        <v>81485000</v>
      </c>
      <c r="M23" s="411">
        <v>13899380090</v>
      </c>
      <c r="N23" s="411">
        <v>1005562855</v>
      </c>
      <c r="O23" s="411">
        <v>68252500</v>
      </c>
      <c r="P23" s="411">
        <v>13902624748</v>
      </c>
      <c r="Q23" s="411">
        <v>4437719000</v>
      </c>
      <c r="R23" s="411">
        <v>74298750</v>
      </c>
      <c r="S23" s="397">
        <v>16101891500</v>
      </c>
      <c r="T23" s="397">
        <v>3436340000</v>
      </c>
      <c r="U23" s="397">
        <v>125000000</v>
      </c>
      <c r="V23" s="397">
        <v>16555977000</v>
      </c>
      <c r="W23" s="397">
        <v>9810726000</v>
      </c>
      <c r="X23" s="397">
        <v>200000000</v>
      </c>
    </row>
    <row r="24" spans="2:24">
      <c r="B24" s="410">
        <v>19</v>
      </c>
      <c r="C24" s="403" t="s">
        <v>50</v>
      </c>
      <c r="D24" s="411">
        <v>1205529480</v>
      </c>
      <c r="E24" s="411">
        <v>52323170</v>
      </c>
      <c r="F24" s="411">
        <v>109070000</v>
      </c>
      <c r="G24" s="411">
        <v>1235504692</v>
      </c>
      <c r="H24" s="411">
        <v>41887840</v>
      </c>
      <c r="I24" s="411">
        <v>302078750</v>
      </c>
      <c r="J24" s="411">
        <v>1473874257</v>
      </c>
      <c r="K24" s="411">
        <v>394574940</v>
      </c>
      <c r="L24" s="411">
        <v>151441500</v>
      </c>
      <c r="M24" s="411">
        <v>1457641286</v>
      </c>
      <c r="N24" s="411">
        <v>245630715</v>
      </c>
      <c r="O24" s="411">
        <v>165601000</v>
      </c>
      <c r="P24" s="411">
        <v>1709274610</v>
      </c>
      <c r="Q24" s="411">
        <v>254699430</v>
      </c>
      <c r="R24" s="411">
        <v>226415600</v>
      </c>
      <c r="S24" s="397">
        <v>1932055971</v>
      </c>
      <c r="T24" s="397">
        <v>238330050</v>
      </c>
      <c r="U24" s="397">
        <v>299977500</v>
      </c>
      <c r="V24" s="397">
        <v>2082132700</v>
      </c>
      <c r="W24" s="397">
        <v>806295450</v>
      </c>
      <c r="X24" s="397">
        <v>482872800</v>
      </c>
    </row>
    <row r="25" spans="2:24">
      <c r="B25" s="410">
        <v>20</v>
      </c>
      <c r="C25" s="403" t="s">
        <v>51</v>
      </c>
      <c r="D25" s="411">
        <v>130982314</v>
      </c>
      <c r="E25" s="411">
        <v>122509450</v>
      </c>
      <c r="F25" s="411">
        <v>4800000</v>
      </c>
      <c r="G25" s="411">
        <v>255634643</v>
      </c>
      <c r="H25" s="411">
        <v>210342900</v>
      </c>
      <c r="I25" s="411">
        <v>3050000</v>
      </c>
      <c r="J25" s="411">
        <v>238676141</v>
      </c>
      <c r="K25" s="411">
        <v>858540861</v>
      </c>
      <c r="L25" s="411">
        <v>5220000</v>
      </c>
      <c r="M25" s="411">
        <v>244419733</v>
      </c>
      <c r="N25" s="411">
        <v>327518256</v>
      </c>
      <c r="O25" s="411"/>
      <c r="P25" s="411">
        <v>327776049</v>
      </c>
      <c r="Q25" s="411">
        <v>1210899337</v>
      </c>
      <c r="R25" s="411">
        <v>10500000</v>
      </c>
      <c r="S25" s="397">
        <v>454481000</v>
      </c>
      <c r="T25" s="397">
        <v>607870165</v>
      </c>
      <c r="V25" s="397">
        <v>427096000</v>
      </c>
      <c r="W25" s="397">
        <v>738880865</v>
      </c>
      <c r="X25" s="397">
        <v>12000000</v>
      </c>
    </row>
    <row r="26" spans="2:24">
      <c r="B26" s="410">
        <v>21</v>
      </c>
      <c r="C26" s="403" t="s">
        <v>52</v>
      </c>
      <c r="D26" s="411"/>
      <c r="E26" s="411"/>
      <c r="F26" s="411"/>
      <c r="G26" s="411">
        <v>381269700</v>
      </c>
      <c r="H26" s="411">
        <v>5043950</v>
      </c>
      <c r="I26" s="411">
        <v>375000</v>
      </c>
      <c r="J26" s="411">
        <v>124013022</v>
      </c>
      <c r="K26" s="411">
        <v>12000000</v>
      </c>
      <c r="L26" s="411">
        <v>3150000</v>
      </c>
      <c r="M26" s="411">
        <v>133485595</v>
      </c>
      <c r="N26" s="411">
        <v>2000000</v>
      </c>
      <c r="O26" s="411"/>
      <c r="P26" s="411">
        <v>146925830</v>
      </c>
      <c r="Q26" s="411">
        <v>3000000</v>
      </c>
      <c r="R26" s="411">
        <v>5100000</v>
      </c>
      <c r="S26" s="397">
        <v>173748350</v>
      </c>
      <c r="T26" s="397">
        <v>56000000</v>
      </c>
      <c r="V26" s="397">
        <v>158108200</v>
      </c>
      <c r="W26" s="397">
        <v>50000000</v>
      </c>
      <c r="X26" s="397">
        <v>6200000</v>
      </c>
    </row>
    <row r="27" spans="2:24">
      <c r="B27" s="410">
        <v>22</v>
      </c>
      <c r="C27" s="403" t="s">
        <v>53</v>
      </c>
      <c r="D27" s="411">
        <v>220119083</v>
      </c>
      <c r="E27" s="411">
        <v>17298000</v>
      </c>
      <c r="F27" s="411">
        <v>4825000</v>
      </c>
      <c r="G27" s="411">
        <v>196769381</v>
      </c>
      <c r="H27" s="411"/>
      <c r="I27" s="411"/>
      <c r="J27" s="411">
        <v>193003144</v>
      </c>
      <c r="K27" s="411">
        <v>24639000</v>
      </c>
      <c r="L27" s="411">
        <v>3960000</v>
      </c>
      <c r="M27" s="411">
        <v>223491265</v>
      </c>
      <c r="N27" s="411">
        <v>24383300</v>
      </c>
      <c r="O27" s="411"/>
      <c r="P27" s="411">
        <v>202020246</v>
      </c>
      <c r="Q27" s="411">
        <v>30533900</v>
      </c>
      <c r="R27" s="411">
        <v>6600000</v>
      </c>
      <c r="S27" s="397">
        <v>239375000</v>
      </c>
      <c r="T27" s="397">
        <v>62471000</v>
      </c>
      <c r="V27" s="397">
        <v>221244000</v>
      </c>
      <c r="W27" s="397">
        <v>45950000</v>
      </c>
      <c r="X27" s="397">
        <v>8600000</v>
      </c>
    </row>
    <row r="28" spans="2:24">
      <c r="B28" s="410">
        <v>23</v>
      </c>
      <c r="C28" s="403" t="s">
        <v>54</v>
      </c>
      <c r="D28" s="411">
        <v>1361434760</v>
      </c>
      <c r="E28" s="411">
        <v>201849317</v>
      </c>
      <c r="F28" s="411">
        <v>30675000</v>
      </c>
      <c r="G28" s="411">
        <v>259021601</v>
      </c>
      <c r="H28" s="411">
        <v>35100000</v>
      </c>
      <c r="I28" s="411"/>
      <c r="J28" s="411">
        <v>88426293</v>
      </c>
      <c r="K28" s="411">
        <v>57680045</v>
      </c>
      <c r="L28" s="411">
        <v>2790000</v>
      </c>
      <c r="M28" s="411">
        <v>86663353</v>
      </c>
      <c r="N28" s="411">
        <v>42881000</v>
      </c>
      <c r="O28" s="411"/>
      <c r="P28" s="411">
        <v>81952609</v>
      </c>
      <c r="Q28" s="411">
        <v>67055080</v>
      </c>
      <c r="R28" s="411">
        <v>4200000</v>
      </c>
      <c r="S28" s="397">
        <v>102019950</v>
      </c>
      <c r="T28" s="397">
        <v>65051900</v>
      </c>
      <c r="V28" s="397">
        <v>110089900</v>
      </c>
      <c r="W28" s="397">
        <v>49500000</v>
      </c>
      <c r="X28" s="397">
        <v>6200000</v>
      </c>
    </row>
    <row r="29" spans="2:24">
      <c r="B29" s="410">
        <v>24</v>
      </c>
      <c r="C29" s="403" t="s">
        <v>55</v>
      </c>
      <c r="D29" s="411">
        <v>29889436</v>
      </c>
      <c r="E29" s="411">
        <v>14347500</v>
      </c>
      <c r="F29" s="411">
        <v>2150000</v>
      </c>
      <c r="G29" s="411">
        <v>31101245</v>
      </c>
      <c r="H29" s="411">
        <v>22043500</v>
      </c>
      <c r="I29" s="411"/>
      <c r="J29" s="411">
        <v>29629063</v>
      </c>
      <c r="K29" s="411">
        <v>26039000</v>
      </c>
      <c r="L29" s="411">
        <v>1980000</v>
      </c>
      <c r="M29" s="411">
        <v>30391957</v>
      </c>
      <c r="N29" s="411">
        <v>27239035</v>
      </c>
      <c r="O29" s="411"/>
      <c r="P29" s="411">
        <v>39802669</v>
      </c>
      <c r="Q29" s="411">
        <v>29705270</v>
      </c>
      <c r="R29" s="411">
        <v>2400000</v>
      </c>
      <c r="S29" s="397">
        <v>57900000</v>
      </c>
      <c r="T29" s="397">
        <v>213000000</v>
      </c>
      <c r="V29" s="397">
        <v>61710000</v>
      </c>
      <c r="W29" s="397">
        <v>63750000</v>
      </c>
      <c r="X29" s="397">
        <v>3600000</v>
      </c>
    </row>
    <row r="30" spans="2:24">
      <c r="B30" s="410">
        <v>25</v>
      </c>
      <c r="C30" s="403" t="s">
        <v>56</v>
      </c>
      <c r="D30" s="411">
        <v>33180973</v>
      </c>
      <c r="E30" s="411">
        <v>35315500</v>
      </c>
      <c r="F30" s="411">
        <v>2399700</v>
      </c>
      <c r="G30" s="411">
        <v>29604420</v>
      </c>
      <c r="H30" s="411">
        <v>16459500</v>
      </c>
      <c r="I30" s="411"/>
      <c r="J30" s="411">
        <v>33485608</v>
      </c>
      <c r="K30" s="411">
        <v>20463500</v>
      </c>
      <c r="L30" s="411">
        <v>1800000</v>
      </c>
      <c r="M30" s="411">
        <v>37588846</v>
      </c>
      <c r="N30" s="411">
        <v>27352643</v>
      </c>
      <c r="O30" s="411"/>
      <c r="P30" s="411">
        <v>53030150</v>
      </c>
      <c r="Q30" s="411">
        <v>32968800</v>
      </c>
      <c r="R30" s="411">
        <v>4050000</v>
      </c>
      <c r="S30" s="397">
        <v>60994000</v>
      </c>
      <c r="T30" s="397">
        <v>41550000</v>
      </c>
      <c r="V30" s="397">
        <v>60323900</v>
      </c>
      <c r="W30" s="397">
        <v>34500000</v>
      </c>
      <c r="X30" s="397">
        <v>6400000</v>
      </c>
    </row>
    <row r="31" spans="2:24">
      <c r="B31" s="410">
        <v>26</v>
      </c>
      <c r="C31" s="403" t="s">
        <v>57</v>
      </c>
      <c r="D31" s="411">
        <v>28799080</v>
      </c>
      <c r="E31" s="411">
        <v>27650000</v>
      </c>
      <c r="F31" s="411">
        <v>2100000</v>
      </c>
      <c r="G31" s="411">
        <v>32646244</v>
      </c>
      <c r="H31" s="411">
        <v>31466000</v>
      </c>
      <c r="I31" s="411">
        <v>250000</v>
      </c>
      <c r="J31" s="411">
        <v>33457499</v>
      </c>
      <c r="K31" s="411">
        <v>31461000</v>
      </c>
      <c r="L31" s="411">
        <v>2520000</v>
      </c>
      <c r="M31" s="411">
        <v>28836249</v>
      </c>
      <c r="N31" s="411">
        <v>38963860</v>
      </c>
      <c r="O31" s="411"/>
      <c r="P31" s="411">
        <v>47681186</v>
      </c>
      <c r="Q31" s="411">
        <v>105382631</v>
      </c>
      <c r="R31" s="411">
        <v>3750000</v>
      </c>
      <c r="S31" s="397">
        <v>57970000</v>
      </c>
      <c r="T31" s="397">
        <v>40400000</v>
      </c>
      <c r="V31" s="397">
        <v>66130000</v>
      </c>
      <c r="W31" s="397">
        <v>39500000</v>
      </c>
      <c r="X31" s="397">
        <v>3200000</v>
      </c>
    </row>
    <row r="32" spans="2:24">
      <c r="B32" s="410">
        <v>27</v>
      </c>
      <c r="C32" s="403" t="s">
        <v>58</v>
      </c>
      <c r="D32" s="411">
        <v>425730460</v>
      </c>
      <c r="E32" s="411">
        <v>46403000</v>
      </c>
      <c r="F32" s="411">
        <v>8100000</v>
      </c>
      <c r="G32" s="411">
        <v>43734961</v>
      </c>
      <c r="H32" s="411">
        <v>22677000</v>
      </c>
      <c r="I32" s="411"/>
      <c r="J32" s="411">
        <v>46100262</v>
      </c>
      <c r="K32" s="411">
        <v>20270000</v>
      </c>
      <c r="L32" s="411">
        <v>1800000</v>
      </c>
      <c r="M32" s="411">
        <v>41038055</v>
      </c>
      <c r="N32" s="411">
        <v>29269000</v>
      </c>
      <c r="O32" s="411"/>
      <c r="P32" s="411">
        <v>61867292</v>
      </c>
      <c r="Q32" s="411">
        <v>115960000</v>
      </c>
      <c r="R32" s="411">
        <v>3600000</v>
      </c>
      <c r="S32" s="397">
        <v>63449000</v>
      </c>
      <c r="T32" s="397">
        <v>44000000</v>
      </c>
      <c r="V32" s="397">
        <v>76460000</v>
      </c>
      <c r="W32" s="397">
        <v>158000000</v>
      </c>
      <c r="X32" s="397">
        <v>4000000</v>
      </c>
    </row>
    <row r="33" spans="2:24">
      <c r="B33" s="410">
        <v>28</v>
      </c>
      <c r="C33" s="403" t="s">
        <v>59</v>
      </c>
      <c r="D33" s="411">
        <v>30612185</v>
      </c>
      <c r="E33" s="411">
        <v>22022000</v>
      </c>
      <c r="F33" s="411">
        <v>2325000</v>
      </c>
      <c r="G33" s="411">
        <v>24305273</v>
      </c>
      <c r="H33" s="411">
        <v>25189000</v>
      </c>
      <c r="I33" s="411"/>
      <c r="J33" s="411">
        <v>29101714</v>
      </c>
      <c r="K33" s="411">
        <v>20476000</v>
      </c>
      <c r="L33" s="411">
        <v>1710000</v>
      </c>
      <c r="M33" s="411">
        <v>33961834</v>
      </c>
      <c r="N33" s="411">
        <v>25786150</v>
      </c>
      <c r="O33" s="411"/>
      <c r="P33" s="411">
        <v>51228250</v>
      </c>
      <c r="Q33" s="411">
        <v>156122673</v>
      </c>
      <c r="R33" s="411">
        <v>4500000</v>
      </c>
      <c r="S33" s="397">
        <v>55320000</v>
      </c>
      <c r="T33" s="397">
        <v>105172000</v>
      </c>
      <c r="V33" s="397">
        <v>62431000</v>
      </c>
      <c r="W33" s="397">
        <v>52500000</v>
      </c>
      <c r="X33" s="397">
        <v>5400000</v>
      </c>
    </row>
    <row r="34" spans="2:24">
      <c r="B34" s="410">
        <v>29</v>
      </c>
      <c r="C34" s="403" t="s">
        <v>60</v>
      </c>
      <c r="D34" s="411">
        <v>29201847</v>
      </c>
      <c r="E34" s="411">
        <v>35204000</v>
      </c>
      <c r="F34" s="411">
        <v>3500000</v>
      </c>
      <c r="G34" s="411">
        <v>30331294</v>
      </c>
      <c r="H34" s="411">
        <v>53907000</v>
      </c>
      <c r="I34" s="411"/>
      <c r="J34" s="411">
        <v>31409363</v>
      </c>
      <c r="K34" s="411">
        <v>24123500</v>
      </c>
      <c r="L34" s="411">
        <v>2160000</v>
      </c>
      <c r="M34" s="411">
        <v>32875956</v>
      </c>
      <c r="N34" s="411">
        <v>29899000</v>
      </c>
      <c r="O34" s="411"/>
      <c r="P34" s="411">
        <v>53364801</v>
      </c>
      <c r="Q34" s="411">
        <v>52842300</v>
      </c>
      <c r="R34" s="411">
        <v>4350000</v>
      </c>
      <c r="S34" s="397">
        <v>62448000</v>
      </c>
      <c r="T34" s="397">
        <v>95000000</v>
      </c>
      <c r="V34" s="397">
        <v>66644000</v>
      </c>
      <c r="W34" s="397">
        <v>48100000</v>
      </c>
      <c r="X34" s="397">
        <v>5600000</v>
      </c>
    </row>
    <row r="35" spans="2:24">
      <c r="B35" s="410">
        <v>30</v>
      </c>
      <c r="C35" s="403" t="s">
        <v>61</v>
      </c>
      <c r="D35" s="411">
        <v>36740046</v>
      </c>
      <c r="E35" s="411">
        <v>31856000</v>
      </c>
      <c r="F35" s="411">
        <v>2425000</v>
      </c>
      <c r="G35" s="411">
        <v>33840618</v>
      </c>
      <c r="H35" s="411">
        <v>23368000</v>
      </c>
      <c r="I35" s="411"/>
      <c r="J35" s="411">
        <v>32109278</v>
      </c>
      <c r="K35" s="411">
        <f>20356000+9665000</f>
        <v>30021000</v>
      </c>
      <c r="L35" s="411">
        <v>2700000</v>
      </c>
      <c r="M35" s="411">
        <v>32463396</v>
      </c>
      <c r="N35" s="411">
        <v>29050000</v>
      </c>
      <c r="O35" s="411"/>
      <c r="P35" s="411">
        <v>48419174</v>
      </c>
      <c r="Q35" s="411">
        <v>50912365</v>
      </c>
      <c r="R35" s="411">
        <v>4050000</v>
      </c>
      <c r="S35" s="397">
        <v>58620000</v>
      </c>
      <c r="T35" s="397">
        <v>82800000</v>
      </c>
      <c r="V35" s="397">
        <v>54954800</v>
      </c>
      <c r="W35" s="397">
        <v>88200000</v>
      </c>
      <c r="X35" s="397">
        <v>5400000</v>
      </c>
    </row>
    <row r="36" spans="2:24">
      <c r="B36" s="410">
        <v>31</v>
      </c>
      <c r="C36" s="403" t="s">
        <v>62</v>
      </c>
      <c r="D36" s="411">
        <v>35220093</v>
      </c>
      <c r="E36" s="411">
        <v>23107250</v>
      </c>
      <c r="F36" s="411">
        <v>2400000</v>
      </c>
      <c r="G36" s="411">
        <v>37487170</v>
      </c>
      <c r="H36" s="411">
        <v>21071000</v>
      </c>
      <c r="I36" s="411"/>
      <c r="J36" s="411">
        <v>30797660</v>
      </c>
      <c r="K36" s="411">
        <v>25292000</v>
      </c>
      <c r="L36" s="411">
        <v>2250000</v>
      </c>
      <c r="M36" s="411">
        <v>35937673</v>
      </c>
      <c r="N36" s="411">
        <v>35559000</v>
      </c>
      <c r="O36" s="411"/>
      <c r="P36" s="411">
        <v>51846130</v>
      </c>
      <c r="Q36" s="411">
        <v>44306812</v>
      </c>
      <c r="R36" s="411">
        <v>3450000</v>
      </c>
      <c r="S36" s="397">
        <v>57206000</v>
      </c>
      <c r="T36" s="397">
        <v>37400000</v>
      </c>
      <c r="V36" s="397">
        <v>56839250</v>
      </c>
      <c r="W36" s="397">
        <v>38899900</v>
      </c>
      <c r="X36" s="397">
        <v>4750000</v>
      </c>
    </row>
    <row r="37" spans="2:24">
      <c r="B37" s="410">
        <v>32</v>
      </c>
      <c r="C37" s="403" t="s">
        <v>63</v>
      </c>
      <c r="D37" s="411">
        <v>129033596</v>
      </c>
      <c r="E37" s="411">
        <v>30725000</v>
      </c>
      <c r="F37" s="411"/>
      <c r="G37" s="411">
        <v>29699965</v>
      </c>
      <c r="H37" s="411">
        <v>33685250</v>
      </c>
      <c r="I37" s="411"/>
      <c r="J37" s="411">
        <v>30248240</v>
      </c>
      <c r="K37" s="411">
        <v>34289500</v>
      </c>
      <c r="L37" s="411">
        <v>2970000</v>
      </c>
      <c r="M37" s="411">
        <v>31429342</v>
      </c>
      <c r="N37" s="411">
        <v>44509000</v>
      </c>
      <c r="O37" s="411"/>
      <c r="P37" s="411">
        <v>49563200</v>
      </c>
      <c r="Q37" s="411">
        <v>35511000</v>
      </c>
      <c r="R37" s="411">
        <v>4950000</v>
      </c>
      <c r="S37" s="397">
        <v>50479500</v>
      </c>
      <c r="T37" s="397">
        <v>57689500</v>
      </c>
      <c r="V37" s="397">
        <v>54088000</v>
      </c>
      <c r="W37" s="397">
        <v>52084500</v>
      </c>
      <c r="X37" s="397">
        <v>7200000</v>
      </c>
    </row>
    <row r="38" spans="2:24">
      <c r="B38" s="410">
        <v>33</v>
      </c>
      <c r="C38" s="403" t="s">
        <v>64</v>
      </c>
      <c r="D38" s="411">
        <v>25900609</v>
      </c>
      <c r="E38" s="411">
        <v>34635000</v>
      </c>
      <c r="F38" s="411">
        <v>2125000</v>
      </c>
      <c r="G38" s="411">
        <v>26871058</v>
      </c>
      <c r="H38" s="411">
        <v>19615000</v>
      </c>
      <c r="I38" s="411"/>
      <c r="J38" s="411">
        <v>32903042</v>
      </c>
      <c r="K38" s="411">
        <v>8500000</v>
      </c>
      <c r="L38" s="411">
        <v>2160000</v>
      </c>
      <c r="M38" s="411">
        <v>34926563</v>
      </c>
      <c r="N38" s="411">
        <v>18494500</v>
      </c>
      <c r="O38" s="411"/>
      <c r="P38" s="411">
        <v>50073530</v>
      </c>
      <c r="Q38" s="411">
        <v>31504327</v>
      </c>
      <c r="R38" s="411">
        <v>4200000</v>
      </c>
      <c r="S38" s="397">
        <v>71175000</v>
      </c>
      <c r="T38" s="397">
        <v>37770000</v>
      </c>
      <c r="V38" s="397">
        <v>69185000</v>
      </c>
      <c r="W38" s="397">
        <v>41000000</v>
      </c>
      <c r="X38" s="397">
        <v>4400000</v>
      </c>
    </row>
    <row r="39" spans="2:24">
      <c r="B39" s="410">
        <v>34</v>
      </c>
      <c r="C39" s="403" t="s">
        <v>65</v>
      </c>
      <c r="D39" s="411">
        <v>31460929</v>
      </c>
      <c r="E39" s="411">
        <v>22765000</v>
      </c>
      <c r="F39" s="411">
        <v>2250000</v>
      </c>
      <c r="G39" s="411">
        <v>36456826</v>
      </c>
      <c r="H39" s="411">
        <v>23028000</v>
      </c>
      <c r="I39" s="411"/>
      <c r="J39" s="411">
        <v>31547602</v>
      </c>
      <c r="K39" s="411">
        <v>23200000</v>
      </c>
      <c r="L39" s="411">
        <v>1260000</v>
      </c>
      <c r="M39" s="411">
        <v>31131543</v>
      </c>
      <c r="N39" s="411">
        <v>29563550</v>
      </c>
      <c r="O39" s="411"/>
      <c r="P39" s="411">
        <v>46939581</v>
      </c>
      <c r="Q39" s="411">
        <v>36364450</v>
      </c>
      <c r="R39" s="411">
        <v>3150000</v>
      </c>
      <c r="S39" s="397">
        <v>56370000</v>
      </c>
      <c r="T39" s="397">
        <v>77400000</v>
      </c>
      <c r="V39" s="397">
        <v>56741000</v>
      </c>
      <c r="W39" s="397">
        <v>109700000</v>
      </c>
      <c r="X39" s="397">
        <v>4600000</v>
      </c>
    </row>
    <row r="40" spans="2:24">
      <c r="B40" s="410">
        <v>35</v>
      </c>
      <c r="C40" s="403" t="s">
        <v>66</v>
      </c>
      <c r="D40" s="411">
        <v>179964463</v>
      </c>
      <c r="E40" s="411">
        <v>28663000</v>
      </c>
      <c r="F40" s="411">
        <v>5800000</v>
      </c>
      <c r="G40" s="411">
        <v>42311732</v>
      </c>
      <c r="H40" s="411">
        <v>16170000</v>
      </c>
      <c r="I40" s="411"/>
      <c r="J40" s="411">
        <v>22385610</v>
      </c>
      <c r="K40" s="411">
        <v>17960461</v>
      </c>
      <c r="L40" s="411">
        <v>1800000</v>
      </c>
      <c r="M40" s="411">
        <v>23521519</v>
      </c>
      <c r="N40" s="411">
        <v>72578595</v>
      </c>
      <c r="O40" s="411"/>
      <c r="P40" s="411">
        <v>44477272</v>
      </c>
      <c r="Q40" s="411">
        <v>35412525</v>
      </c>
      <c r="R40" s="411">
        <v>3450000</v>
      </c>
      <c r="S40" s="397">
        <v>52696000</v>
      </c>
      <c r="T40" s="397">
        <v>48000000</v>
      </c>
      <c r="V40" s="397">
        <v>53900000</v>
      </c>
      <c r="W40" s="397">
        <v>60500000</v>
      </c>
      <c r="X40" s="397">
        <v>5600000</v>
      </c>
    </row>
    <row r="41" spans="2:24">
      <c r="B41" s="410">
        <v>36</v>
      </c>
      <c r="C41" s="403" t="s">
        <v>67</v>
      </c>
      <c r="D41" s="411">
        <v>38674330</v>
      </c>
      <c r="E41" s="411">
        <v>35270500</v>
      </c>
      <c r="F41" s="411">
        <v>2225000</v>
      </c>
      <c r="G41" s="411">
        <v>40371129</v>
      </c>
      <c r="H41" s="411">
        <v>23135000</v>
      </c>
      <c r="I41" s="411"/>
      <c r="J41" s="411">
        <v>35261531</v>
      </c>
      <c r="K41" s="411">
        <v>22590500</v>
      </c>
      <c r="L41" s="411">
        <v>1890000</v>
      </c>
      <c r="M41" s="411">
        <v>26390917</v>
      </c>
      <c r="N41" s="411">
        <v>29645500</v>
      </c>
      <c r="O41" s="411"/>
      <c r="P41" s="411">
        <v>42175080</v>
      </c>
      <c r="Q41" s="411">
        <v>33130265</v>
      </c>
      <c r="R41" s="411">
        <v>3150000</v>
      </c>
      <c r="S41" s="397">
        <v>57290500</v>
      </c>
      <c r="T41" s="397">
        <v>74050000</v>
      </c>
      <c r="V41" s="397">
        <v>62303000</v>
      </c>
      <c r="W41" s="397">
        <v>208000000</v>
      </c>
      <c r="X41" s="397">
        <v>4600000</v>
      </c>
    </row>
    <row r="42" spans="2:24">
      <c r="B42" s="410">
        <v>37</v>
      </c>
      <c r="C42" s="403" t="s">
        <v>68</v>
      </c>
      <c r="D42" s="411">
        <v>34846700</v>
      </c>
      <c r="E42" s="411">
        <v>23598000</v>
      </c>
      <c r="F42" s="411">
        <v>2375000</v>
      </c>
      <c r="G42" s="411">
        <v>24823001</v>
      </c>
      <c r="H42" s="411">
        <v>14897500</v>
      </c>
      <c r="I42" s="411"/>
      <c r="J42" s="411">
        <v>45858799</v>
      </c>
      <c r="K42" s="411">
        <v>14884400</v>
      </c>
      <c r="L42" s="411">
        <v>1160000</v>
      </c>
      <c r="M42" s="411">
        <v>42959000</v>
      </c>
      <c r="N42" s="411">
        <v>38270000</v>
      </c>
      <c r="O42" s="411"/>
      <c r="P42" s="411">
        <v>63538525</v>
      </c>
      <c r="Q42" s="411">
        <v>38525400</v>
      </c>
      <c r="R42" s="411">
        <v>2400000</v>
      </c>
      <c r="S42" s="397">
        <v>75438000</v>
      </c>
      <c r="T42" s="397">
        <v>77950000</v>
      </c>
      <c r="V42" s="397">
        <v>82420000</v>
      </c>
      <c r="W42" s="397">
        <v>90000000</v>
      </c>
      <c r="X42" s="397">
        <v>4600000</v>
      </c>
    </row>
    <row r="43" spans="2:24">
      <c r="B43" s="410">
        <v>38</v>
      </c>
      <c r="C43" s="403" t="s">
        <v>69</v>
      </c>
      <c r="D43" s="411">
        <v>28209505</v>
      </c>
      <c r="E43" s="411">
        <v>27040000</v>
      </c>
      <c r="F43" s="411">
        <v>2550000</v>
      </c>
      <c r="G43" s="411">
        <v>25159155</v>
      </c>
      <c r="H43" s="411">
        <v>24092000</v>
      </c>
      <c r="I43" s="411"/>
      <c r="J43" s="411">
        <v>26524560</v>
      </c>
      <c r="K43" s="411">
        <v>28163500</v>
      </c>
      <c r="L43" s="411">
        <v>2070000</v>
      </c>
      <c r="M43" s="411">
        <v>28062032</v>
      </c>
      <c r="N43" s="411">
        <v>31308000</v>
      </c>
      <c r="O43" s="411"/>
      <c r="P43" s="411">
        <v>48870941</v>
      </c>
      <c r="Q43" s="411">
        <v>30610000</v>
      </c>
      <c r="R43" s="411">
        <v>3600000</v>
      </c>
      <c r="S43" s="397">
        <v>56400000</v>
      </c>
      <c r="T43" s="397">
        <v>57500000</v>
      </c>
      <c r="V43" s="397">
        <v>69199000</v>
      </c>
      <c r="W43" s="397">
        <v>154500000</v>
      </c>
      <c r="X43" s="397">
        <v>5800000</v>
      </c>
    </row>
    <row r="44" spans="2:24">
      <c r="B44" s="410">
        <v>39</v>
      </c>
      <c r="C44" s="403" t="s">
        <v>70</v>
      </c>
      <c r="D44" s="411"/>
      <c r="E44" s="411">
        <v>28260000</v>
      </c>
      <c r="F44" s="411">
        <v>20720000</v>
      </c>
      <c r="G44" s="411">
        <v>24526887</v>
      </c>
      <c r="H44" s="411">
        <v>29621500</v>
      </c>
      <c r="I44" s="411"/>
      <c r="J44" s="411">
        <v>25112450</v>
      </c>
      <c r="K44" s="411">
        <v>46440000</v>
      </c>
      <c r="L44" s="411">
        <v>2340000</v>
      </c>
      <c r="M44" s="411">
        <v>33295137</v>
      </c>
      <c r="N44" s="411">
        <v>27333000</v>
      </c>
      <c r="O44" s="411"/>
      <c r="P44" s="411">
        <v>46995891</v>
      </c>
      <c r="Q44" s="411">
        <v>37472000</v>
      </c>
      <c r="R44" s="411">
        <v>3750000</v>
      </c>
      <c r="S44" s="397">
        <v>53884000</v>
      </c>
      <c r="T44" s="397">
        <v>44127900</v>
      </c>
      <c r="V44" s="397">
        <v>55790000</v>
      </c>
      <c r="W44" s="397">
        <v>64475000</v>
      </c>
      <c r="X44" s="397">
        <v>5800000</v>
      </c>
    </row>
    <row r="45" spans="2:24">
      <c r="B45" s="410">
        <v>40</v>
      </c>
      <c r="C45" s="403" t="s">
        <v>71</v>
      </c>
      <c r="D45" s="411">
        <v>26628617</v>
      </c>
      <c r="E45" s="411">
        <v>32737500</v>
      </c>
      <c r="F45" s="411">
        <v>1700000</v>
      </c>
      <c r="G45" s="411">
        <v>27034713</v>
      </c>
      <c r="H45" s="411">
        <v>23340500</v>
      </c>
      <c r="I45" s="411">
        <v>125000</v>
      </c>
      <c r="J45" s="411">
        <v>24999681</v>
      </c>
      <c r="K45" s="411">
        <v>23299000</v>
      </c>
      <c r="L45" s="411">
        <v>1440000</v>
      </c>
      <c r="M45" s="411">
        <v>24593684</v>
      </c>
      <c r="N45" s="411">
        <v>25126000</v>
      </c>
      <c r="O45" s="411"/>
      <c r="P45" s="411">
        <v>44040101</v>
      </c>
      <c r="Q45" s="411">
        <v>37396755</v>
      </c>
      <c r="R45" s="411">
        <v>3000000</v>
      </c>
      <c r="S45" s="397">
        <v>60540000</v>
      </c>
      <c r="T45" s="397">
        <v>70225000</v>
      </c>
      <c r="V45" s="397">
        <v>56240000</v>
      </c>
      <c r="W45" s="397">
        <v>47500000</v>
      </c>
      <c r="X45" s="397">
        <v>5800000</v>
      </c>
    </row>
    <row r="46" spans="2:24">
      <c r="B46" s="410">
        <v>41</v>
      </c>
      <c r="C46" s="403" t="s">
        <v>72</v>
      </c>
      <c r="D46" s="411">
        <v>31944539</v>
      </c>
      <c r="E46" s="411">
        <v>22362000</v>
      </c>
      <c r="F46" s="411">
        <v>2045000</v>
      </c>
      <c r="G46" s="411">
        <v>25056599</v>
      </c>
      <c r="H46" s="411">
        <v>20357000</v>
      </c>
      <c r="I46" s="411"/>
      <c r="J46" s="411">
        <v>28941633</v>
      </c>
      <c r="K46" s="411">
        <v>26236540</v>
      </c>
      <c r="L46" s="411">
        <v>1530000</v>
      </c>
      <c r="M46" s="411">
        <v>32661465</v>
      </c>
      <c r="N46" s="411">
        <v>23908035</v>
      </c>
      <c r="O46" s="411"/>
      <c r="P46" s="411">
        <v>49937708</v>
      </c>
      <c r="Q46" s="411">
        <v>26889054</v>
      </c>
      <c r="R46" s="411">
        <v>2550000</v>
      </c>
      <c r="S46" s="397">
        <v>52042500</v>
      </c>
      <c r="T46" s="397">
        <v>70530000</v>
      </c>
      <c r="V46" s="397">
        <v>60720800</v>
      </c>
      <c r="W46" s="397">
        <v>133500000</v>
      </c>
      <c r="X46" s="397">
        <v>4600000</v>
      </c>
    </row>
    <row r="47" spans="2:24">
      <c r="B47" s="410">
        <v>42</v>
      </c>
      <c r="C47" s="403" t="s">
        <v>73</v>
      </c>
      <c r="D47" s="411">
        <v>40513755</v>
      </c>
      <c r="E47" s="411">
        <v>28030000</v>
      </c>
      <c r="F47" s="411"/>
      <c r="G47" s="411">
        <v>33330240</v>
      </c>
      <c r="H47" s="411">
        <v>24037500</v>
      </c>
      <c r="I47" s="411"/>
      <c r="J47" s="411">
        <v>35388510</v>
      </c>
      <c r="K47" s="411">
        <v>37213000</v>
      </c>
      <c r="L47" s="411">
        <v>1980000</v>
      </c>
      <c r="M47" s="411">
        <v>34437501</v>
      </c>
      <c r="N47" s="411">
        <v>36995000</v>
      </c>
      <c r="O47" s="411"/>
      <c r="P47" s="411">
        <v>49089022</v>
      </c>
      <c r="Q47" s="411">
        <v>35159500</v>
      </c>
      <c r="R47" s="411">
        <v>3150000</v>
      </c>
      <c r="S47" s="397">
        <v>69223000</v>
      </c>
      <c r="T47" s="397">
        <v>42000000</v>
      </c>
      <c r="V47" s="397">
        <v>61280000</v>
      </c>
      <c r="W47" s="397">
        <v>151000000</v>
      </c>
      <c r="X47" s="397">
        <v>4000000</v>
      </c>
    </row>
    <row r="48" spans="2:24">
      <c r="B48" s="410">
        <v>43</v>
      </c>
      <c r="C48" s="403" t="s">
        <v>74</v>
      </c>
      <c r="D48" s="411"/>
      <c r="E48" s="411"/>
      <c r="F48" s="411"/>
      <c r="G48" s="411">
        <v>9640127</v>
      </c>
      <c r="H48" s="411">
        <v>4263000</v>
      </c>
      <c r="I48" s="411"/>
      <c r="J48" s="411">
        <v>11652962</v>
      </c>
      <c r="K48" s="411">
        <v>11986500</v>
      </c>
      <c r="L48" s="411">
        <v>810000</v>
      </c>
      <c r="M48" s="411">
        <v>13691395</v>
      </c>
      <c r="N48" s="411">
        <v>9205630</v>
      </c>
      <c r="O48" s="411"/>
      <c r="P48" s="411">
        <v>16737413</v>
      </c>
      <c r="Q48" s="411">
        <v>9457000</v>
      </c>
      <c r="R48" s="411">
        <v>1600000</v>
      </c>
      <c r="S48" s="397">
        <v>26860000</v>
      </c>
      <c r="T48" s="397">
        <v>29750000</v>
      </c>
      <c r="V48" s="397">
        <v>29410000</v>
      </c>
      <c r="W48" s="397">
        <v>24500000</v>
      </c>
      <c r="X48" s="397">
        <v>1600000</v>
      </c>
    </row>
    <row r="49" spans="2:24">
      <c r="B49" s="410">
        <v>44</v>
      </c>
      <c r="C49" s="403" t="s">
        <v>75</v>
      </c>
      <c r="D49" s="411"/>
      <c r="E49" s="411"/>
      <c r="F49" s="411"/>
      <c r="G49" s="411">
        <v>16395345</v>
      </c>
      <c r="H49" s="411">
        <v>5300000</v>
      </c>
      <c r="I49" s="411"/>
      <c r="J49" s="411">
        <v>24795550</v>
      </c>
      <c r="K49" s="411">
        <f>11500000+4000000</f>
        <v>15500000</v>
      </c>
      <c r="L49" s="411">
        <v>720000</v>
      </c>
      <c r="M49" s="411">
        <v>31264506</v>
      </c>
      <c r="N49" s="411">
        <v>14590000</v>
      </c>
      <c r="O49" s="411"/>
      <c r="P49" s="411">
        <v>32535182</v>
      </c>
      <c r="Q49" s="411">
        <v>14517500</v>
      </c>
      <c r="R49" s="411">
        <v>1300000</v>
      </c>
      <c r="S49" s="397">
        <v>38635000</v>
      </c>
      <c r="T49" s="397">
        <v>45184000</v>
      </c>
      <c r="V49" s="397">
        <v>51530000</v>
      </c>
      <c r="W49" s="397">
        <v>24000000</v>
      </c>
      <c r="X49" s="397">
        <v>1600000</v>
      </c>
    </row>
    <row r="50" spans="2:24">
      <c r="B50" s="410">
        <v>45</v>
      </c>
      <c r="C50" s="403" t="s">
        <v>76</v>
      </c>
      <c r="D50" s="411"/>
      <c r="E50" s="411"/>
      <c r="F50" s="411"/>
      <c r="G50" s="411">
        <v>9682050</v>
      </c>
      <c r="H50" s="411">
        <v>5050000</v>
      </c>
      <c r="I50" s="411"/>
      <c r="J50" s="411">
        <v>11040168</v>
      </c>
      <c r="K50" s="411">
        <v>11924000</v>
      </c>
      <c r="L50" s="411">
        <v>810000</v>
      </c>
      <c r="M50" s="411">
        <v>22170800</v>
      </c>
      <c r="N50" s="411">
        <v>10895000</v>
      </c>
      <c r="O50" s="411"/>
      <c r="P50" s="411">
        <v>26170301</v>
      </c>
      <c r="Q50" s="411">
        <v>12270200</v>
      </c>
      <c r="R50" s="411">
        <v>1600000</v>
      </c>
      <c r="S50" s="397">
        <v>38000000</v>
      </c>
      <c r="T50" s="397">
        <v>34300000</v>
      </c>
      <c r="V50" s="397">
        <v>36510000</v>
      </c>
      <c r="W50" s="397">
        <v>29600000</v>
      </c>
      <c r="X50" s="397">
        <v>1600000</v>
      </c>
    </row>
    <row r="51" spans="2:24">
      <c r="B51" s="410">
        <v>46</v>
      </c>
      <c r="C51" s="403" t="s">
        <v>77</v>
      </c>
      <c r="D51" s="411"/>
      <c r="E51" s="411"/>
      <c r="F51" s="411"/>
      <c r="G51" s="411">
        <v>11166036</v>
      </c>
      <c r="H51" s="411">
        <v>5200000</v>
      </c>
      <c r="I51" s="411"/>
      <c r="J51" s="411">
        <v>11908564</v>
      </c>
      <c r="K51" s="411">
        <v>12468000</v>
      </c>
      <c r="L51" s="411">
        <v>720000</v>
      </c>
      <c r="M51" s="411">
        <v>18372055</v>
      </c>
      <c r="N51" s="411">
        <v>6700000</v>
      </c>
      <c r="O51" s="411"/>
      <c r="P51" s="411">
        <v>19102005</v>
      </c>
      <c r="Q51" s="411">
        <v>11142000</v>
      </c>
      <c r="R51" s="411">
        <v>1600000</v>
      </c>
      <c r="S51" s="397">
        <v>27710000</v>
      </c>
      <c r="T51" s="397">
        <v>32250000</v>
      </c>
      <c r="V51" s="397">
        <v>32360000</v>
      </c>
      <c r="W51" s="397">
        <v>14500000</v>
      </c>
      <c r="X51" s="397">
        <v>1400000</v>
      </c>
    </row>
    <row r="52" spans="2:24">
      <c r="B52" s="410">
        <v>47</v>
      </c>
      <c r="C52" s="403" t="s">
        <v>78</v>
      </c>
      <c r="D52" s="411"/>
      <c r="E52" s="411"/>
      <c r="F52" s="411"/>
      <c r="G52" s="411">
        <v>11109450</v>
      </c>
      <c r="H52" s="411">
        <v>4673000</v>
      </c>
      <c r="I52" s="411"/>
      <c r="J52" s="411">
        <v>23748250</v>
      </c>
      <c r="K52" s="411">
        <v>15000000</v>
      </c>
      <c r="L52" s="411">
        <v>810000</v>
      </c>
      <c r="M52" s="411">
        <v>26871978</v>
      </c>
      <c r="N52" s="411">
        <v>13250000</v>
      </c>
      <c r="O52" s="411"/>
      <c r="P52" s="411">
        <v>21176276</v>
      </c>
      <c r="Q52" s="411">
        <v>12339911</v>
      </c>
      <c r="R52" s="411">
        <v>1600000</v>
      </c>
      <c r="S52" s="397">
        <v>27707400</v>
      </c>
      <c r="T52" s="397">
        <v>27500000</v>
      </c>
      <c r="V52" s="397">
        <v>31110000</v>
      </c>
      <c r="W52" s="397">
        <v>21500000</v>
      </c>
      <c r="X52" s="397">
        <v>1600000</v>
      </c>
    </row>
    <row r="53" spans="2:24">
      <c r="B53" s="410">
        <v>48</v>
      </c>
      <c r="C53" s="403" t="s">
        <v>79</v>
      </c>
      <c r="D53" s="411"/>
      <c r="E53" s="411"/>
      <c r="F53" s="411"/>
      <c r="G53" s="411">
        <v>11761161</v>
      </c>
      <c r="H53" s="411">
        <v>5700000</v>
      </c>
      <c r="I53" s="411"/>
      <c r="J53" s="411">
        <v>13156034</v>
      </c>
      <c r="K53" s="411">
        <v>19500000</v>
      </c>
      <c r="L53" s="411">
        <v>810000</v>
      </c>
      <c r="M53" s="411">
        <v>26049269</v>
      </c>
      <c r="N53" s="411">
        <v>40461100</v>
      </c>
      <c r="O53" s="411"/>
      <c r="P53" s="411">
        <v>21329927</v>
      </c>
      <c r="Q53" s="411">
        <v>34620208</v>
      </c>
      <c r="R53" s="411">
        <v>1900000</v>
      </c>
      <c r="S53" s="397">
        <v>27710000</v>
      </c>
      <c r="T53" s="397">
        <v>27500000</v>
      </c>
      <c r="V53" s="397">
        <v>27768000</v>
      </c>
      <c r="W53" s="397">
        <v>20500000</v>
      </c>
      <c r="X53" s="397">
        <v>1400000</v>
      </c>
    </row>
    <row r="54" spans="2:24">
      <c r="B54" s="410">
        <v>49</v>
      </c>
      <c r="C54" s="403" t="s">
        <v>80</v>
      </c>
      <c r="D54" s="411"/>
      <c r="E54" s="411"/>
      <c r="F54" s="411"/>
      <c r="G54" s="411">
        <v>10798163</v>
      </c>
      <c r="H54" s="411">
        <v>5200000</v>
      </c>
      <c r="I54" s="411"/>
      <c r="J54" s="411">
        <v>11771683</v>
      </c>
      <c r="K54" s="411">
        <v>12179690</v>
      </c>
      <c r="L54" s="411">
        <v>630000</v>
      </c>
      <c r="M54" s="411">
        <v>13736335</v>
      </c>
      <c r="N54" s="411">
        <v>20599270</v>
      </c>
      <c r="O54" s="411"/>
      <c r="P54" s="411">
        <v>20967840</v>
      </c>
      <c r="Q54" s="411">
        <v>27777975</v>
      </c>
      <c r="R54" s="411">
        <v>1600000</v>
      </c>
      <c r="S54" s="397">
        <v>30509400</v>
      </c>
      <c r="T54" s="397">
        <v>37005000</v>
      </c>
      <c r="V54" s="397">
        <v>29048400</v>
      </c>
      <c r="W54" s="397">
        <v>26000000</v>
      </c>
      <c r="X54" s="397">
        <v>1400000</v>
      </c>
    </row>
    <row r="55" spans="2:24">
      <c r="B55" s="410">
        <v>50</v>
      </c>
      <c r="C55" s="403" t="s">
        <v>81</v>
      </c>
      <c r="D55" s="411"/>
      <c r="E55" s="411"/>
      <c r="F55" s="411"/>
      <c r="G55" s="411">
        <v>9963555</v>
      </c>
      <c r="H55" s="411">
        <v>5186000</v>
      </c>
      <c r="I55" s="411"/>
      <c r="J55" s="411">
        <v>11615402</v>
      </c>
      <c r="K55" s="411">
        <v>9999485</v>
      </c>
      <c r="L55" s="411">
        <v>630000</v>
      </c>
      <c r="M55" s="411">
        <v>13951040</v>
      </c>
      <c r="N55" s="411">
        <v>10453360</v>
      </c>
      <c r="O55" s="411"/>
      <c r="P55" s="411">
        <v>16795707</v>
      </c>
      <c r="Q55" s="411">
        <v>14532120</v>
      </c>
      <c r="R55" s="411">
        <v>1300000</v>
      </c>
      <c r="S55" s="397">
        <v>27710000</v>
      </c>
      <c r="T55" s="397">
        <v>27500000</v>
      </c>
      <c r="V55" s="397">
        <v>26510000</v>
      </c>
      <c r="W55" s="397">
        <v>24000000</v>
      </c>
      <c r="X55" s="397">
        <v>1600000</v>
      </c>
    </row>
    <row r="56" spans="2:24">
      <c r="B56" s="410">
        <v>51</v>
      </c>
      <c r="C56" s="403" t="s">
        <v>82</v>
      </c>
      <c r="D56" s="411"/>
      <c r="E56" s="411"/>
      <c r="F56" s="411"/>
      <c r="G56" s="411">
        <v>60407726</v>
      </c>
      <c r="H56" s="411">
        <v>5175000</v>
      </c>
      <c r="I56" s="411"/>
      <c r="J56" s="411">
        <v>26877112</v>
      </c>
      <c r="K56" s="411">
        <v>10450000</v>
      </c>
      <c r="L56" s="411">
        <v>900000</v>
      </c>
      <c r="M56" s="411">
        <v>23160872</v>
      </c>
      <c r="N56" s="411">
        <v>15499003</v>
      </c>
      <c r="O56" s="411"/>
      <c r="P56" s="411">
        <v>19237027</v>
      </c>
      <c r="Q56" s="411">
        <v>16379493</v>
      </c>
      <c r="R56" s="411">
        <v>1600000</v>
      </c>
      <c r="S56" s="397">
        <v>27690000</v>
      </c>
      <c r="T56" s="397">
        <v>77500000</v>
      </c>
      <c r="V56" s="397">
        <v>27690000</v>
      </c>
      <c r="W56" s="397">
        <v>24000000</v>
      </c>
      <c r="X56" s="397">
        <v>1400000</v>
      </c>
    </row>
    <row r="57" spans="2:24">
      <c r="B57" s="410">
        <v>52</v>
      </c>
      <c r="C57" s="403" t="s">
        <v>83</v>
      </c>
      <c r="D57" s="411"/>
      <c r="E57" s="411"/>
      <c r="F57" s="411"/>
      <c r="G57" s="411">
        <v>92585030</v>
      </c>
      <c r="H57" s="411">
        <v>5040000</v>
      </c>
      <c r="I57" s="411"/>
      <c r="J57" s="411">
        <v>85391731</v>
      </c>
      <c r="K57" s="411">
        <v>11149685</v>
      </c>
      <c r="L57" s="411">
        <v>1080000</v>
      </c>
      <c r="M57" s="411">
        <v>68460650</v>
      </c>
      <c r="N57" s="411">
        <v>11350000</v>
      </c>
      <c r="O57" s="411"/>
      <c r="P57" s="411">
        <v>57443331</v>
      </c>
      <c r="Q57" s="411">
        <v>10766000</v>
      </c>
      <c r="R57" s="411">
        <v>2200000</v>
      </c>
      <c r="S57" s="397">
        <v>51400000</v>
      </c>
      <c r="T57" s="397">
        <v>27169500</v>
      </c>
      <c r="V57" s="397">
        <v>71963000</v>
      </c>
      <c r="W57" s="397">
        <v>32315000</v>
      </c>
      <c r="X57" s="397">
        <v>2200000</v>
      </c>
    </row>
    <row r="58" spans="2:24">
      <c r="B58" s="410">
        <v>53</v>
      </c>
      <c r="C58" s="403" t="s">
        <v>84</v>
      </c>
      <c r="D58" s="411"/>
      <c r="E58" s="411"/>
      <c r="F58" s="411"/>
      <c r="G58" s="411">
        <v>63469454</v>
      </c>
      <c r="H58" s="411">
        <v>5194500</v>
      </c>
      <c r="I58" s="411"/>
      <c r="J58" s="411">
        <v>38605616</v>
      </c>
      <c r="K58" s="411">
        <v>14466587</v>
      </c>
      <c r="L58" s="411">
        <v>810000</v>
      </c>
      <c r="M58" s="411">
        <v>36578822</v>
      </c>
      <c r="N58" s="411">
        <v>14925596</v>
      </c>
      <c r="O58" s="411"/>
      <c r="P58" s="411">
        <v>45279201</v>
      </c>
      <c r="Q58" s="411">
        <v>18766300</v>
      </c>
      <c r="R58" s="411">
        <v>1750000</v>
      </c>
      <c r="S58" s="397">
        <v>55180000</v>
      </c>
      <c r="T58" s="397">
        <v>29000000</v>
      </c>
      <c r="V58" s="397">
        <v>63955000</v>
      </c>
      <c r="W58" s="397">
        <v>25000000</v>
      </c>
      <c r="X58" s="397">
        <v>1800000</v>
      </c>
    </row>
    <row r="59" spans="2:24">
      <c r="B59" s="410">
        <v>54</v>
      </c>
      <c r="C59" s="403" t="s">
        <v>85</v>
      </c>
      <c r="D59" s="411"/>
      <c r="E59" s="411"/>
      <c r="F59" s="411"/>
      <c r="G59" s="411">
        <v>82943484</v>
      </c>
      <c r="H59" s="411">
        <v>5115000</v>
      </c>
      <c r="I59" s="411"/>
      <c r="J59" s="411">
        <v>62224845</v>
      </c>
      <c r="K59" s="411">
        <v>11450000</v>
      </c>
      <c r="L59" s="411">
        <v>1080000</v>
      </c>
      <c r="M59" s="411">
        <v>57923152</v>
      </c>
      <c r="N59" s="411">
        <v>11269813</v>
      </c>
      <c r="O59" s="411"/>
      <c r="P59" s="411">
        <v>48869825</v>
      </c>
      <c r="Q59" s="411">
        <v>14814122</v>
      </c>
      <c r="R59" s="411">
        <v>1900000</v>
      </c>
      <c r="S59" s="397">
        <v>54350000</v>
      </c>
      <c r="T59" s="397">
        <v>30500000</v>
      </c>
      <c r="V59" s="397">
        <v>57000000</v>
      </c>
      <c r="W59" s="397">
        <v>23500000</v>
      </c>
      <c r="X59" s="397">
        <v>1800000</v>
      </c>
    </row>
    <row r="60" spans="2:24">
      <c r="B60" s="410">
        <v>55</v>
      </c>
      <c r="C60" s="403" t="s">
        <v>86</v>
      </c>
      <c r="D60" s="411"/>
      <c r="E60" s="411"/>
      <c r="F60" s="411"/>
      <c r="G60" s="411">
        <v>52894801</v>
      </c>
      <c r="H60" s="411">
        <v>5174500</v>
      </c>
      <c r="I60" s="411"/>
      <c r="J60" s="411">
        <v>35876387</v>
      </c>
      <c r="K60" s="411">
        <v>11499777</v>
      </c>
      <c r="L60" s="411">
        <v>990000</v>
      </c>
      <c r="M60" s="411">
        <v>38705884</v>
      </c>
      <c r="N60" s="411">
        <v>9447205</v>
      </c>
      <c r="O60" s="411"/>
      <c r="P60" s="411">
        <v>35411033</v>
      </c>
      <c r="Q60" s="411">
        <v>19725725</v>
      </c>
      <c r="R60" s="411">
        <v>1900000</v>
      </c>
      <c r="S60" s="397">
        <v>44220000</v>
      </c>
      <c r="T60" s="397">
        <v>26500000</v>
      </c>
      <c r="V60" s="397">
        <v>42789600</v>
      </c>
      <c r="W60" s="397">
        <v>30960000</v>
      </c>
      <c r="X60" s="397">
        <v>1600000</v>
      </c>
    </row>
    <row r="61" spans="2:24">
      <c r="B61" s="410">
        <v>56</v>
      </c>
      <c r="C61" s="403" t="s">
        <v>87</v>
      </c>
      <c r="D61" s="411"/>
      <c r="E61" s="411"/>
      <c r="F61" s="411"/>
      <c r="G61" s="411">
        <v>83607240</v>
      </c>
      <c r="H61" s="411">
        <v>4199500</v>
      </c>
      <c r="I61" s="411"/>
      <c r="J61" s="411">
        <v>38721728</v>
      </c>
      <c r="K61" s="411">
        <v>13395058</v>
      </c>
      <c r="L61" s="411">
        <v>990000</v>
      </c>
      <c r="M61" s="411">
        <v>28072348</v>
      </c>
      <c r="N61" s="411">
        <v>10924005</v>
      </c>
      <c r="O61" s="411"/>
      <c r="P61" s="411">
        <v>23578178</v>
      </c>
      <c r="Q61" s="411">
        <v>19811610</v>
      </c>
      <c r="R61" s="411">
        <v>1750000</v>
      </c>
      <c r="S61" s="397">
        <v>46210000</v>
      </c>
      <c r="T61" s="397">
        <v>37421000</v>
      </c>
      <c r="V61" s="397">
        <v>48106000</v>
      </c>
      <c r="W61" s="397">
        <v>21500000</v>
      </c>
      <c r="X61" s="397">
        <v>1800000</v>
      </c>
    </row>
    <row r="62" spans="2:24">
      <c r="B62" s="410">
        <v>57</v>
      </c>
      <c r="C62" s="403" t="s">
        <v>88</v>
      </c>
      <c r="D62" s="411"/>
      <c r="E62" s="411"/>
      <c r="F62" s="411"/>
      <c r="G62" s="411">
        <v>72208006</v>
      </c>
      <c r="H62" s="411">
        <v>5140000</v>
      </c>
      <c r="I62" s="411"/>
      <c r="J62" s="411">
        <v>32727284</v>
      </c>
      <c r="K62" s="411">
        <v>11499000</v>
      </c>
      <c r="L62" s="411">
        <v>960000</v>
      </c>
      <c r="M62" s="411">
        <v>25381072</v>
      </c>
      <c r="N62" s="411">
        <v>10425000</v>
      </c>
      <c r="O62" s="411"/>
      <c r="P62" s="411">
        <v>26374899</v>
      </c>
      <c r="Q62" s="411">
        <v>10607600</v>
      </c>
      <c r="R62" s="411">
        <v>1900000</v>
      </c>
      <c r="S62" s="397">
        <v>35774800</v>
      </c>
      <c r="T62" s="397">
        <v>26700000</v>
      </c>
      <c r="V62" s="397">
        <v>35930992</v>
      </c>
      <c r="W62" s="397">
        <v>25500000</v>
      </c>
      <c r="X62" s="397">
        <v>1400000</v>
      </c>
    </row>
    <row r="63" spans="2:24">
      <c r="B63" s="410">
        <v>58</v>
      </c>
      <c r="C63" s="403" t="s">
        <v>89</v>
      </c>
      <c r="D63" s="411"/>
      <c r="E63" s="411"/>
      <c r="F63" s="411"/>
      <c r="G63" s="411">
        <v>77522820</v>
      </c>
      <c r="H63" s="411">
        <v>5175000</v>
      </c>
      <c r="I63" s="411"/>
      <c r="J63" s="411">
        <v>35591365</v>
      </c>
      <c r="K63" s="411">
        <v>11435000</v>
      </c>
      <c r="L63" s="411">
        <v>990000</v>
      </c>
      <c r="M63" s="411">
        <v>32614203</v>
      </c>
      <c r="N63" s="411">
        <v>9582200</v>
      </c>
      <c r="O63" s="411"/>
      <c r="P63" s="411">
        <v>30790585</v>
      </c>
      <c r="Q63" s="411">
        <v>12261477</v>
      </c>
      <c r="R63" s="411">
        <v>1600000</v>
      </c>
      <c r="S63" s="397">
        <v>38070600</v>
      </c>
      <c r="T63" s="397">
        <v>29500000</v>
      </c>
      <c r="V63" s="397">
        <v>45570000</v>
      </c>
      <c r="W63" s="397">
        <v>21000000</v>
      </c>
      <c r="X63" s="397">
        <v>1600000</v>
      </c>
    </row>
    <row r="64" spans="2:24">
      <c r="B64" s="410">
        <v>59</v>
      </c>
      <c r="C64" s="403" t="s">
        <v>90</v>
      </c>
      <c r="D64" s="411"/>
      <c r="E64" s="411"/>
      <c r="F64" s="411"/>
      <c r="G64" s="411">
        <v>56118470</v>
      </c>
      <c r="H64" s="411">
        <v>9800000</v>
      </c>
      <c r="I64" s="411"/>
      <c r="J64" s="411">
        <v>29102631</v>
      </c>
      <c r="K64" s="411">
        <v>14300000</v>
      </c>
      <c r="L64" s="411">
        <v>900000</v>
      </c>
      <c r="M64" s="411">
        <v>26888407</v>
      </c>
      <c r="N64" s="411">
        <v>13789652</v>
      </c>
      <c r="O64" s="411"/>
      <c r="P64" s="411">
        <v>24700405</v>
      </c>
      <c r="Q64" s="411">
        <v>13854840</v>
      </c>
      <c r="R64" s="411">
        <v>1900000</v>
      </c>
      <c r="S64" s="397">
        <v>47260000</v>
      </c>
      <c r="T64" s="397">
        <v>20076500</v>
      </c>
      <c r="V64" s="397">
        <v>28443500</v>
      </c>
      <c r="W64" s="397">
        <v>12500000</v>
      </c>
      <c r="X64" s="397">
        <v>1400000</v>
      </c>
    </row>
    <row r="65" spans="2:36">
      <c r="B65" s="410">
        <v>60</v>
      </c>
      <c r="C65" s="403" t="s">
        <v>91</v>
      </c>
      <c r="D65" s="411"/>
      <c r="E65" s="411"/>
      <c r="F65" s="411"/>
      <c r="G65" s="411">
        <v>126450044</v>
      </c>
      <c r="H65" s="411">
        <v>5169000</v>
      </c>
      <c r="I65" s="411"/>
      <c r="J65" s="411">
        <v>69545516</v>
      </c>
      <c r="K65" s="411">
        <v>13681210</v>
      </c>
      <c r="L65" s="411">
        <v>1338000</v>
      </c>
      <c r="M65" s="411">
        <v>48990829</v>
      </c>
      <c r="N65" s="411">
        <f>53814159+9020000</f>
        <v>62834159</v>
      </c>
      <c r="O65" s="411"/>
      <c r="P65" s="411">
        <v>39381025</v>
      </c>
      <c r="Q65" s="411">
        <v>22881595</v>
      </c>
      <c r="R65" s="411">
        <v>1750000</v>
      </c>
      <c r="S65" s="397">
        <v>46344000</v>
      </c>
      <c r="T65" s="397">
        <v>39500000</v>
      </c>
      <c r="V65" s="397">
        <v>57560000</v>
      </c>
      <c r="W65" s="397">
        <v>24968600</v>
      </c>
      <c r="X65" s="397">
        <v>1800000</v>
      </c>
    </row>
    <row r="66" spans="2:36">
      <c r="B66" s="410">
        <v>61</v>
      </c>
      <c r="C66" s="403" t="s">
        <v>92</v>
      </c>
      <c r="D66" s="411"/>
      <c r="E66" s="411"/>
      <c r="F66" s="411"/>
      <c r="G66" s="411">
        <v>118760601</v>
      </c>
      <c r="H66" s="411">
        <v>5195387</v>
      </c>
      <c r="I66" s="411"/>
      <c r="J66" s="411">
        <v>74660434</v>
      </c>
      <c r="K66" s="411">
        <v>11498300</v>
      </c>
      <c r="L66" s="411">
        <v>1440000</v>
      </c>
      <c r="M66" s="411">
        <v>62475049</v>
      </c>
      <c r="N66" s="411">
        <v>13864793</v>
      </c>
      <c r="O66" s="411"/>
      <c r="P66" s="411">
        <v>58585180</v>
      </c>
      <c r="Q66" s="411">
        <v>11564373</v>
      </c>
      <c r="R66" s="411">
        <v>2050000</v>
      </c>
      <c r="S66" s="397">
        <v>51057250</v>
      </c>
      <c r="T66" s="397">
        <v>26240000</v>
      </c>
      <c r="V66" s="397">
        <v>60635000</v>
      </c>
      <c r="W66" s="397">
        <v>25250000</v>
      </c>
      <c r="X66" s="397">
        <v>1800000</v>
      </c>
    </row>
    <row r="67" spans="2:36">
      <c r="B67" s="410">
        <v>62</v>
      </c>
      <c r="C67" s="403" t="s">
        <v>93</v>
      </c>
      <c r="D67" s="411"/>
      <c r="E67" s="411"/>
      <c r="F67" s="411"/>
      <c r="G67" s="411">
        <v>109480954</v>
      </c>
      <c r="H67" s="411">
        <v>3463500</v>
      </c>
      <c r="I67" s="411"/>
      <c r="J67" s="411">
        <v>89678400</v>
      </c>
      <c r="K67" s="411">
        <v>12030000</v>
      </c>
      <c r="L67" s="411">
        <v>1530000</v>
      </c>
      <c r="M67" s="411">
        <v>84556533</v>
      </c>
      <c r="N67" s="411">
        <v>12165000</v>
      </c>
      <c r="O67" s="411"/>
      <c r="P67" s="411">
        <v>86731326</v>
      </c>
      <c r="Q67" s="411">
        <v>13298000</v>
      </c>
      <c r="R67" s="411">
        <v>2800000</v>
      </c>
      <c r="S67" s="397">
        <v>100787000</v>
      </c>
      <c r="T67" s="397">
        <v>30000000</v>
      </c>
      <c r="V67" s="397">
        <v>124650000</v>
      </c>
      <c r="W67" s="397">
        <v>20500000</v>
      </c>
      <c r="X67" s="397">
        <v>3000000</v>
      </c>
    </row>
    <row r="68" spans="2:36">
      <c r="B68" s="410">
        <v>63</v>
      </c>
      <c r="C68" s="403" t="s">
        <v>94</v>
      </c>
      <c r="D68" s="411"/>
      <c r="E68" s="411"/>
      <c r="F68" s="411"/>
      <c r="G68" s="411">
        <v>186260470</v>
      </c>
      <c r="H68" s="411">
        <v>5824000</v>
      </c>
      <c r="I68" s="411"/>
      <c r="J68" s="411">
        <v>97781501</v>
      </c>
      <c r="K68" s="411">
        <v>11312760</v>
      </c>
      <c r="L68" s="411">
        <v>1800000</v>
      </c>
      <c r="M68" s="411">
        <v>76716221</v>
      </c>
      <c r="N68" s="411">
        <v>67082051</v>
      </c>
      <c r="O68" s="411"/>
      <c r="P68" s="411">
        <v>74102668</v>
      </c>
      <c r="Q68" s="411">
        <v>14691461</v>
      </c>
      <c r="R68" s="411">
        <v>2800000</v>
      </c>
      <c r="S68" s="397">
        <v>74610000</v>
      </c>
      <c r="T68" s="397">
        <v>24100000</v>
      </c>
      <c r="V68" s="397">
        <v>69355000</v>
      </c>
      <c r="W68" s="397">
        <v>10000000</v>
      </c>
      <c r="X68" s="397">
        <v>2400000</v>
      </c>
    </row>
    <row r="69" spans="2:36">
      <c r="B69" s="410">
        <v>64</v>
      </c>
      <c r="C69" s="403" t="s">
        <v>95</v>
      </c>
      <c r="D69" s="411"/>
      <c r="E69" s="411"/>
      <c r="F69" s="411"/>
      <c r="G69" s="411">
        <v>163902279</v>
      </c>
      <c r="H69" s="411">
        <v>6287781</v>
      </c>
      <c r="I69" s="411"/>
      <c r="J69" s="411">
        <v>69857207</v>
      </c>
      <c r="K69" s="411">
        <v>11339000</v>
      </c>
      <c r="L69" s="411">
        <v>1440000</v>
      </c>
      <c r="M69" s="411">
        <v>64468579</v>
      </c>
      <c r="N69" s="411">
        <v>16714218</v>
      </c>
      <c r="O69" s="411"/>
      <c r="P69" s="411">
        <v>48325346</v>
      </c>
      <c r="Q69" s="411">
        <v>18080490</v>
      </c>
      <c r="R69" s="411">
        <v>2500000</v>
      </c>
      <c r="S69" s="397">
        <v>50043000</v>
      </c>
      <c r="T69" s="397">
        <v>27500000</v>
      </c>
      <c r="V69" s="397">
        <v>62216000</v>
      </c>
      <c r="W69" s="397">
        <v>21650000</v>
      </c>
      <c r="X69" s="397">
        <v>2400000</v>
      </c>
    </row>
    <row r="70" spans="2:36">
      <c r="B70" s="410">
        <v>65</v>
      </c>
      <c r="C70" s="403" t="s">
        <v>96</v>
      </c>
      <c r="D70" s="411"/>
      <c r="E70" s="411"/>
      <c r="F70" s="411"/>
      <c r="G70" s="411">
        <v>92047251</v>
      </c>
      <c r="H70" s="411">
        <v>5476000</v>
      </c>
      <c r="I70" s="411"/>
      <c r="J70" s="411">
        <v>58613150</v>
      </c>
      <c r="K70" s="411">
        <v>15761280</v>
      </c>
      <c r="L70" s="411">
        <v>1170000</v>
      </c>
      <c r="M70" s="411">
        <v>58515444</v>
      </c>
      <c r="N70" s="411">
        <v>14901435</v>
      </c>
      <c r="O70" s="411"/>
      <c r="P70" s="411">
        <v>51390914</v>
      </c>
      <c r="Q70" s="411">
        <v>10895160</v>
      </c>
      <c r="R70" s="411">
        <v>2050000</v>
      </c>
      <c r="S70" s="397">
        <v>58135034</v>
      </c>
      <c r="T70" s="397">
        <v>26000000</v>
      </c>
      <c r="V70" s="397">
        <v>63353500</v>
      </c>
      <c r="W70" s="397">
        <v>24000000</v>
      </c>
      <c r="X70" s="397">
        <v>2000000</v>
      </c>
    </row>
    <row r="71" spans="2:36">
      <c r="B71" s="410">
        <v>66</v>
      </c>
      <c r="C71" s="403" t="s">
        <v>97</v>
      </c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>
        <v>127576722</v>
      </c>
      <c r="Q71" s="411">
        <v>470779999</v>
      </c>
      <c r="R71" s="411">
        <v>4160000</v>
      </c>
      <c r="S71" s="397">
        <v>132489000</v>
      </c>
      <c r="T71" s="397">
        <v>77716000</v>
      </c>
      <c r="U71" s="397">
        <v>19075000</v>
      </c>
      <c r="V71" s="397">
        <v>133792400</v>
      </c>
      <c r="W71" s="397">
        <v>74980000</v>
      </c>
      <c r="X71" s="397">
        <v>3200000</v>
      </c>
    </row>
    <row r="72" spans="2:36">
      <c r="B72" s="410">
        <v>67</v>
      </c>
      <c r="C72" s="403" t="s">
        <v>98</v>
      </c>
      <c r="D72" s="411"/>
      <c r="E72" s="411"/>
      <c r="F72" s="411"/>
      <c r="G72" s="411">
        <v>45840396</v>
      </c>
      <c r="H72" s="411">
        <v>11415000</v>
      </c>
      <c r="I72" s="411">
        <v>125000</v>
      </c>
      <c r="J72" s="411">
        <v>53355718</v>
      </c>
      <c r="K72" s="411">
        <v>36602500</v>
      </c>
      <c r="L72" s="411">
        <v>1440000</v>
      </c>
      <c r="M72" s="411">
        <v>52658074</v>
      </c>
      <c r="N72" s="411">
        <v>20876500</v>
      </c>
      <c r="O72" s="411"/>
      <c r="P72" s="411">
        <v>56256692</v>
      </c>
      <c r="Q72" s="411">
        <v>13800000</v>
      </c>
      <c r="R72" s="411">
        <v>1800000</v>
      </c>
      <c r="S72" s="397">
        <v>96671000</v>
      </c>
      <c r="T72" s="397">
        <v>26700000</v>
      </c>
      <c r="V72" s="397">
        <v>63730000</v>
      </c>
      <c r="W72" s="397">
        <v>13000000</v>
      </c>
      <c r="X72" s="397">
        <v>2400000</v>
      </c>
    </row>
    <row r="73" spans="2:36">
      <c r="B73" s="410">
        <v>68</v>
      </c>
      <c r="C73" s="403" t="s">
        <v>99</v>
      </c>
      <c r="D73" s="411">
        <v>50052629</v>
      </c>
      <c r="E73" s="411">
        <v>76545000</v>
      </c>
      <c r="F73" s="411">
        <v>4350000</v>
      </c>
      <c r="G73" s="411">
        <v>55223103</v>
      </c>
      <c r="H73" s="411">
        <v>32934000</v>
      </c>
      <c r="I73" s="411">
        <v>125000</v>
      </c>
      <c r="J73" s="411">
        <v>94877982</v>
      </c>
      <c r="K73" s="411">
        <v>30000000</v>
      </c>
      <c r="L73" s="411">
        <v>3859000</v>
      </c>
      <c r="M73" s="411">
        <v>73107201</v>
      </c>
      <c r="N73" s="411">
        <v>20800000</v>
      </c>
      <c r="O73" s="411"/>
      <c r="P73" s="411">
        <v>109140438</v>
      </c>
      <c r="Q73" s="411">
        <v>118378000</v>
      </c>
      <c r="R73" s="411">
        <v>4350000</v>
      </c>
      <c r="S73" s="397">
        <v>133493900</v>
      </c>
      <c r="T73" s="397">
        <v>74300000</v>
      </c>
      <c r="V73" s="397">
        <v>126300000</v>
      </c>
      <c r="W73" s="397">
        <v>36500000</v>
      </c>
      <c r="X73" s="397">
        <v>44680000</v>
      </c>
    </row>
    <row r="74" spans="2:36">
      <c r="B74" s="410">
        <v>69</v>
      </c>
      <c r="C74" s="403" t="s">
        <v>100</v>
      </c>
      <c r="D74" s="411">
        <v>63456450</v>
      </c>
      <c r="E74" s="411">
        <v>4911000</v>
      </c>
      <c r="F74" s="411">
        <v>4100000</v>
      </c>
      <c r="G74" s="411">
        <v>51957971</v>
      </c>
      <c r="H74" s="411">
        <v>13352000</v>
      </c>
      <c r="I74" s="411"/>
      <c r="J74" s="411">
        <v>79446641</v>
      </c>
      <c r="K74" s="411">
        <v>1250000</v>
      </c>
      <c r="L74" s="411">
        <v>2970000</v>
      </c>
      <c r="M74" s="411">
        <v>155540232</v>
      </c>
      <c r="N74" s="411">
        <v>1500000</v>
      </c>
      <c r="O74" s="411"/>
      <c r="P74" s="411">
        <v>167657011</v>
      </c>
      <c r="Q74" s="411">
        <f>1495000+33508734</f>
        <v>35003734</v>
      </c>
      <c r="R74" s="411">
        <v>4950000</v>
      </c>
      <c r="S74" s="397">
        <v>254581730</v>
      </c>
      <c r="T74" s="397">
        <v>44974995</v>
      </c>
      <c r="V74" s="397">
        <v>231827692</v>
      </c>
      <c r="W74" s="397">
        <v>42900000</v>
      </c>
      <c r="X74" s="397">
        <v>6080000</v>
      </c>
    </row>
    <row r="75" spans="2:36">
      <c r="B75" s="410">
        <v>70</v>
      </c>
      <c r="C75" s="403" t="s">
        <v>101</v>
      </c>
      <c r="D75" s="411">
        <v>167063141</v>
      </c>
      <c r="E75" s="411">
        <v>95375000</v>
      </c>
      <c r="F75" s="411"/>
      <c r="G75" s="411">
        <v>119655079</v>
      </c>
      <c r="H75" s="411">
        <v>28910000</v>
      </c>
      <c r="I75" s="411"/>
      <c r="J75" s="411">
        <v>150844391</v>
      </c>
      <c r="K75" s="411">
        <f>36255150+10689300</f>
        <v>46944450</v>
      </c>
      <c r="L75" s="411">
        <v>8068500</v>
      </c>
      <c r="M75" s="411">
        <v>182072357</v>
      </c>
      <c r="N75" s="411">
        <v>31863400</v>
      </c>
      <c r="O75" s="411"/>
      <c r="P75" s="411">
        <v>226343392</v>
      </c>
      <c r="Q75" s="411">
        <v>29982025</v>
      </c>
      <c r="R75" s="411">
        <v>13400000</v>
      </c>
      <c r="S75" s="397">
        <v>226810000</v>
      </c>
      <c r="T75" s="397">
        <v>107600000</v>
      </c>
      <c r="V75" s="397">
        <v>211350000</v>
      </c>
      <c r="W75" s="397">
        <v>56000000</v>
      </c>
      <c r="X75" s="397">
        <v>13400000</v>
      </c>
    </row>
    <row r="76" spans="2:36">
      <c r="B76" s="410">
        <v>71</v>
      </c>
      <c r="C76" s="403" t="s">
        <v>102</v>
      </c>
      <c r="D76" s="411"/>
      <c r="E76" s="411"/>
      <c r="F76" s="411"/>
      <c r="G76" s="411">
        <v>92358701</v>
      </c>
      <c r="H76" s="411">
        <v>37935000</v>
      </c>
      <c r="I76" s="411"/>
      <c r="J76" s="411">
        <v>119366195</v>
      </c>
      <c r="K76" s="411">
        <v>84986000</v>
      </c>
      <c r="L76" s="411">
        <v>6962000</v>
      </c>
      <c r="M76" s="411">
        <v>122693678</v>
      </c>
      <c r="N76" s="411">
        <v>60275510</v>
      </c>
      <c r="O76" s="411"/>
      <c r="P76" s="411">
        <v>121956019</v>
      </c>
      <c r="Q76" s="411">
        <v>48663460</v>
      </c>
      <c r="R76" s="411">
        <v>11052400</v>
      </c>
      <c r="S76" s="397">
        <v>166165000</v>
      </c>
      <c r="T76" s="397">
        <v>130745000</v>
      </c>
      <c r="V76" s="397">
        <v>134610000</v>
      </c>
      <c r="W76" s="397">
        <v>54500000</v>
      </c>
      <c r="X76" s="397">
        <v>13200000</v>
      </c>
    </row>
    <row r="77" spans="2:36">
      <c r="B77" s="410">
        <v>72</v>
      </c>
      <c r="C77" s="403" t="s">
        <v>103</v>
      </c>
      <c r="D77" s="411"/>
      <c r="E77" s="411"/>
      <c r="F77" s="411"/>
      <c r="G77" s="411">
        <v>82798695</v>
      </c>
      <c r="H77" s="411">
        <v>27962500</v>
      </c>
      <c r="I77" s="411"/>
      <c r="J77" s="411">
        <v>121591592</v>
      </c>
      <c r="K77" s="411">
        <v>323881500</v>
      </c>
      <c r="L77" s="411">
        <v>9570000</v>
      </c>
      <c r="M77" s="411">
        <v>151296630</v>
      </c>
      <c r="N77" s="411">
        <v>149686450</v>
      </c>
      <c r="O77" s="411"/>
      <c r="P77" s="411">
        <v>181741220</v>
      </c>
      <c r="Q77" s="411">
        <v>109501800</v>
      </c>
      <c r="R77" s="411">
        <v>17033500</v>
      </c>
      <c r="S77" s="397">
        <v>274772000</v>
      </c>
      <c r="T77" s="397">
        <v>110985000</v>
      </c>
      <c r="V77" s="397">
        <v>250849800</v>
      </c>
      <c r="W77" s="397">
        <v>112980000</v>
      </c>
      <c r="X77" s="397">
        <v>22600000</v>
      </c>
    </row>
    <row r="78" spans="2:36">
      <c r="B78" s="404">
        <v>73</v>
      </c>
      <c r="C78" s="412" t="s">
        <v>104</v>
      </c>
      <c r="D78" s="409">
        <f>929802284+80851547+67509628</f>
        <v>1078163459</v>
      </c>
      <c r="E78" s="409">
        <f>70486500+59559750+13152500</f>
        <v>143198750</v>
      </c>
      <c r="F78" s="409">
        <f>20407750+6950000+2375000</f>
        <v>29732750</v>
      </c>
      <c r="G78" s="409">
        <v>757524368</v>
      </c>
      <c r="H78" s="409">
        <v>25402500</v>
      </c>
      <c r="I78" s="409">
        <v>9504000</v>
      </c>
      <c r="J78" s="409">
        <v>743160840</v>
      </c>
      <c r="K78" s="409">
        <v>27046800</v>
      </c>
      <c r="L78" s="409">
        <v>23700000</v>
      </c>
      <c r="M78" s="409">
        <v>719183342</v>
      </c>
      <c r="N78" s="409">
        <v>56569317</v>
      </c>
      <c r="O78" s="409"/>
      <c r="P78" s="409">
        <v>1026149301</v>
      </c>
      <c r="Q78" s="409">
        <v>122954475</v>
      </c>
      <c r="R78" s="409">
        <v>29322400</v>
      </c>
      <c r="S78" s="397">
        <v>1547285500</v>
      </c>
      <c r="T78" s="397">
        <v>41700000</v>
      </c>
      <c r="V78" s="397">
        <v>1502229500</v>
      </c>
      <c r="W78" s="397">
        <v>20000000</v>
      </c>
      <c r="X78" s="397">
        <v>37600000</v>
      </c>
    </row>
    <row r="80" spans="2:36" s="417" customFormat="1">
      <c r="B80" s="413"/>
      <c r="C80" s="414" t="s">
        <v>508</v>
      </c>
      <c r="D80" s="415">
        <f>SUM(D6:D78)</f>
        <v>27971475243</v>
      </c>
      <c r="E80" s="415">
        <f t="shared" ref="E80:AJ80" si="0">SUM(E6:E78)</f>
        <v>8717111119</v>
      </c>
      <c r="F80" s="415">
        <f t="shared" si="0"/>
        <v>1628406100</v>
      </c>
      <c r="G80" s="415">
        <f t="shared" si="0"/>
        <v>29479384452</v>
      </c>
      <c r="H80" s="415">
        <f t="shared" si="0"/>
        <v>6769132367</v>
      </c>
      <c r="I80" s="415">
        <f t="shared" si="0"/>
        <v>389397000</v>
      </c>
      <c r="J80" s="415">
        <f t="shared" si="0"/>
        <v>30821916353</v>
      </c>
      <c r="K80" s="415">
        <f t="shared" si="0"/>
        <v>6563919883</v>
      </c>
      <c r="L80" s="415">
        <f t="shared" si="0"/>
        <v>1232233350</v>
      </c>
      <c r="M80" s="415">
        <f t="shared" si="0"/>
        <v>33772128361</v>
      </c>
      <c r="N80" s="415">
        <f t="shared" si="0"/>
        <v>4123044550</v>
      </c>
      <c r="O80" s="415">
        <f t="shared" si="0"/>
        <v>233853500</v>
      </c>
      <c r="P80" s="415">
        <f t="shared" si="0"/>
        <v>24438598684</v>
      </c>
      <c r="Q80" s="415">
        <f t="shared" si="0"/>
        <v>9449623362</v>
      </c>
      <c r="R80" s="415">
        <f t="shared" si="0"/>
        <v>1607725750</v>
      </c>
      <c r="S80" s="416">
        <f t="shared" si="0"/>
        <v>29354572450</v>
      </c>
      <c r="T80" s="416">
        <f t="shared" si="0"/>
        <v>17148047120</v>
      </c>
      <c r="U80" s="416">
        <f t="shared" si="0"/>
        <v>450552500</v>
      </c>
      <c r="V80" s="416">
        <f t="shared" si="0"/>
        <v>30012877709</v>
      </c>
      <c r="W80" s="416">
        <f t="shared" si="0"/>
        <v>22319674815</v>
      </c>
      <c r="X80" s="416">
        <f t="shared" si="0"/>
        <v>2634101800</v>
      </c>
      <c r="Y80" s="416">
        <f t="shared" si="0"/>
        <v>0</v>
      </c>
      <c r="Z80" s="416">
        <f t="shared" si="0"/>
        <v>0</v>
      </c>
      <c r="AA80" s="416">
        <f t="shared" si="0"/>
        <v>0</v>
      </c>
      <c r="AB80" s="416">
        <f t="shared" si="0"/>
        <v>0</v>
      </c>
      <c r="AC80" s="416">
        <f t="shared" si="0"/>
        <v>0</v>
      </c>
      <c r="AD80" s="416">
        <f t="shared" si="0"/>
        <v>0</v>
      </c>
      <c r="AE80" s="416">
        <f t="shared" si="0"/>
        <v>0</v>
      </c>
      <c r="AF80" s="416">
        <f t="shared" si="0"/>
        <v>0</v>
      </c>
      <c r="AG80" s="416">
        <f t="shared" si="0"/>
        <v>0</v>
      </c>
      <c r="AH80" s="416">
        <f t="shared" si="0"/>
        <v>0</v>
      </c>
      <c r="AI80" s="416">
        <f t="shared" si="0"/>
        <v>0</v>
      </c>
      <c r="AJ80" s="416">
        <f t="shared" si="0"/>
        <v>0</v>
      </c>
    </row>
  </sheetData>
  <mergeCells count="13">
    <mergeCell ref="AE3:AG3"/>
    <mergeCell ref="AH3:AJ3"/>
    <mergeCell ref="S3:U3"/>
    <mergeCell ref="D3:F3"/>
    <mergeCell ref="G3:I3"/>
    <mergeCell ref="J3:L3"/>
    <mergeCell ref="M3:O3"/>
    <mergeCell ref="P3:R3"/>
    <mergeCell ref="C3:C4"/>
    <mergeCell ref="B3:B4"/>
    <mergeCell ref="V3:X3"/>
    <mergeCell ref="Y3:AA3"/>
    <mergeCell ref="AB3:AD3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O29"/>
  <sheetViews>
    <sheetView workbookViewId="0">
      <selection activeCell="D13" sqref="D13"/>
    </sheetView>
  </sheetViews>
  <sheetFormatPr defaultColWidth="23.28515625" defaultRowHeight="20.100000000000001" customHeight="1"/>
  <cols>
    <col min="1" max="1" width="6.85546875" style="51" customWidth="1"/>
    <col min="2" max="2" width="58" style="52" customWidth="1"/>
    <col min="3" max="4" width="25" style="53" customWidth="1"/>
    <col min="5" max="7" width="20.7109375" style="54" customWidth="1"/>
    <col min="8" max="8" width="25" style="54" customWidth="1"/>
    <col min="9" max="243" width="9.140625" style="54" customWidth="1"/>
    <col min="244" max="244" width="6" style="54" customWidth="1"/>
    <col min="245" max="245" width="50.28515625" style="54" customWidth="1"/>
    <col min="246" max="247" width="0" style="54" hidden="1" customWidth="1"/>
    <col min="248" max="248" width="20.7109375" style="54" customWidth="1"/>
    <col min="249" max="249" width="23.28515625" style="54" customWidth="1"/>
    <col min="250" max="259" width="23.28515625" style="50"/>
    <col min="260" max="260" width="13.140625" style="50" customWidth="1"/>
    <col min="261" max="261" width="58" style="50" customWidth="1"/>
    <col min="262" max="262" width="25" style="50" customWidth="1"/>
    <col min="263" max="263" width="20.7109375" style="50" customWidth="1"/>
    <col min="264" max="264" width="25" style="50" customWidth="1"/>
    <col min="265" max="499" width="9.140625" style="50" customWidth="1"/>
    <col min="500" max="500" width="6" style="50" customWidth="1"/>
    <col min="501" max="501" width="50.28515625" style="50" customWidth="1"/>
    <col min="502" max="503" width="0" style="50" hidden="1" customWidth="1"/>
    <col min="504" max="504" width="20.7109375" style="50" customWidth="1"/>
    <col min="505" max="505" width="23.28515625" style="50" customWidth="1"/>
    <col min="506" max="515" width="23.28515625" style="50"/>
    <col min="516" max="516" width="13.140625" style="50" customWidth="1"/>
    <col min="517" max="517" width="58" style="50" customWidth="1"/>
    <col min="518" max="518" width="25" style="50" customWidth="1"/>
    <col min="519" max="519" width="20.7109375" style="50" customWidth="1"/>
    <col min="520" max="520" width="25" style="50" customWidth="1"/>
    <col min="521" max="755" width="9.140625" style="50" customWidth="1"/>
    <col min="756" max="756" width="6" style="50" customWidth="1"/>
    <col min="757" max="757" width="50.28515625" style="50" customWidth="1"/>
    <col min="758" max="759" width="0" style="50" hidden="1" customWidth="1"/>
    <col min="760" max="760" width="20.7109375" style="50" customWidth="1"/>
    <col min="761" max="761" width="23.28515625" style="50" customWidth="1"/>
    <col min="762" max="771" width="23.28515625" style="50"/>
    <col min="772" max="772" width="13.140625" style="50" customWidth="1"/>
    <col min="773" max="773" width="58" style="50" customWidth="1"/>
    <col min="774" max="774" width="25" style="50" customWidth="1"/>
    <col min="775" max="775" width="20.7109375" style="50" customWidth="1"/>
    <col min="776" max="776" width="25" style="50" customWidth="1"/>
    <col min="777" max="1011" width="9.140625" style="50" customWidth="1"/>
    <col min="1012" max="1012" width="6" style="50" customWidth="1"/>
    <col min="1013" max="1013" width="50.28515625" style="50" customWidth="1"/>
    <col min="1014" max="1015" width="0" style="50" hidden="1" customWidth="1"/>
    <col min="1016" max="1016" width="20.7109375" style="50" customWidth="1"/>
    <col min="1017" max="1017" width="23.28515625" style="50" customWidth="1"/>
    <col min="1018" max="1027" width="23.28515625" style="50"/>
    <col min="1028" max="1028" width="13.140625" style="50" customWidth="1"/>
    <col min="1029" max="1029" width="58" style="50" customWidth="1"/>
    <col min="1030" max="1030" width="25" style="50" customWidth="1"/>
    <col min="1031" max="1031" width="20.7109375" style="50" customWidth="1"/>
    <col min="1032" max="1032" width="25" style="50" customWidth="1"/>
    <col min="1033" max="1267" width="9.140625" style="50" customWidth="1"/>
    <col min="1268" max="1268" width="6" style="50" customWidth="1"/>
    <col min="1269" max="1269" width="50.28515625" style="50" customWidth="1"/>
    <col min="1270" max="1271" width="0" style="50" hidden="1" customWidth="1"/>
    <col min="1272" max="1272" width="20.7109375" style="50" customWidth="1"/>
    <col min="1273" max="1273" width="23.28515625" style="50" customWidth="1"/>
    <col min="1274" max="1283" width="23.28515625" style="50"/>
    <col min="1284" max="1284" width="13.140625" style="50" customWidth="1"/>
    <col min="1285" max="1285" width="58" style="50" customWidth="1"/>
    <col min="1286" max="1286" width="25" style="50" customWidth="1"/>
    <col min="1287" max="1287" width="20.7109375" style="50" customWidth="1"/>
    <col min="1288" max="1288" width="25" style="50" customWidth="1"/>
    <col min="1289" max="1523" width="9.140625" style="50" customWidth="1"/>
    <col min="1524" max="1524" width="6" style="50" customWidth="1"/>
    <col min="1525" max="1525" width="50.28515625" style="50" customWidth="1"/>
    <col min="1526" max="1527" width="0" style="50" hidden="1" customWidth="1"/>
    <col min="1528" max="1528" width="20.7109375" style="50" customWidth="1"/>
    <col min="1529" max="1529" width="23.28515625" style="50" customWidth="1"/>
    <col min="1530" max="1539" width="23.28515625" style="50"/>
    <col min="1540" max="1540" width="13.140625" style="50" customWidth="1"/>
    <col min="1541" max="1541" width="58" style="50" customWidth="1"/>
    <col min="1542" max="1542" width="25" style="50" customWidth="1"/>
    <col min="1543" max="1543" width="20.7109375" style="50" customWidth="1"/>
    <col min="1544" max="1544" width="25" style="50" customWidth="1"/>
    <col min="1545" max="1779" width="9.140625" style="50" customWidth="1"/>
    <col min="1780" max="1780" width="6" style="50" customWidth="1"/>
    <col min="1781" max="1781" width="50.28515625" style="50" customWidth="1"/>
    <col min="1782" max="1783" width="0" style="50" hidden="1" customWidth="1"/>
    <col min="1784" max="1784" width="20.7109375" style="50" customWidth="1"/>
    <col min="1785" max="1785" width="23.28515625" style="50" customWidth="1"/>
    <col min="1786" max="1795" width="23.28515625" style="50"/>
    <col min="1796" max="1796" width="13.140625" style="50" customWidth="1"/>
    <col min="1797" max="1797" width="58" style="50" customWidth="1"/>
    <col min="1798" max="1798" width="25" style="50" customWidth="1"/>
    <col min="1799" max="1799" width="20.7109375" style="50" customWidth="1"/>
    <col min="1800" max="1800" width="25" style="50" customWidth="1"/>
    <col min="1801" max="2035" width="9.140625" style="50" customWidth="1"/>
    <col min="2036" max="2036" width="6" style="50" customWidth="1"/>
    <col min="2037" max="2037" width="50.28515625" style="50" customWidth="1"/>
    <col min="2038" max="2039" width="0" style="50" hidden="1" customWidth="1"/>
    <col min="2040" max="2040" width="20.7109375" style="50" customWidth="1"/>
    <col min="2041" max="2041" width="23.28515625" style="50" customWidth="1"/>
    <col min="2042" max="2051" width="23.28515625" style="50"/>
    <col min="2052" max="2052" width="13.140625" style="50" customWidth="1"/>
    <col min="2053" max="2053" width="58" style="50" customWidth="1"/>
    <col min="2054" max="2054" width="25" style="50" customWidth="1"/>
    <col min="2055" max="2055" width="20.7109375" style="50" customWidth="1"/>
    <col min="2056" max="2056" width="25" style="50" customWidth="1"/>
    <col min="2057" max="2291" width="9.140625" style="50" customWidth="1"/>
    <col min="2292" max="2292" width="6" style="50" customWidth="1"/>
    <col min="2293" max="2293" width="50.28515625" style="50" customWidth="1"/>
    <col min="2294" max="2295" width="0" style="50" hidden="1" customWidth="1"/>
    <col min="2296" max="2296" width="20.7109375" style="50" customWidth="1"/>
    <col min="2297" max="2297" width="23.28515625" style="50" customWidth="1"/>
    <col min="2298" max="2307" width="23.28515625" style="50"/>
    <col min="2308" max="2308" width="13.140625" style="50" customWidth="1"/>
    <col min="2309" max="2309" width="58" style="50" customWidth="1"/>
    <col min="2310" max="2310" width="25" style="50" customWidth="1"/>
    <col min="2311" max="2311" width="20.7109375" style="50" customWidth="1"/>
    <col min="2312" max="2312" width="25" style="50" customWidth="1"/>
    <col min="2313" max="2547" width="9.140625" style="50" customWidth="1"/>
    <col min="2548" max="2548" width="6" style="50" customWidth="1"/>
    <col min="2549" max="2549" width="50.28515625" style="50" customWidth="1"/>
    <col min="2550" max="2551" width="0" style="50" hidden="1" customWidth="1"/>
    <col min="2552" max="2552" width="20.7109375" style="50" customWidth="1"/>
    <col min="2553" max="2553" width="23.28515625" style="50" customWidth="1"/>
    <col min="2554" max="2563" width="23.28515625" style="50"/>
    <col min="2564" max="2564" width="13.140625" style="50" customWidth="1"/>
    <col min="2565" max="2565" width="58" style="50" customWidth="1"/>
    <col min="2566" max="2566" width="25" style="50" customWidth="1"/>
    <col min="2567" max="2567" width="20.7109375" style="50" customWidth="1"/>
    <col min="2568" max="2568" width="25" style="50" customWidth="1"/>
    <col min="2569" max="2803" width="9.140625" style="50" customWidth="1"/>
    <col min="2804" max="2804" width="6" style="50" customWidth="1"/>
    <col min="2805" max="2805" width="50.28515625" style="50" customWidth="1"/>
    <col min="2806" max="2807" width="0" style="50" hidden="1" customWidth="1"/>
    <col min="2808" max="2808" width="20.7109375" style="50" customWidth="1"/>
    <col min="2809" max="2809" width="23.28515625" style="50" customWidth="1"/>
    <col min="2810" max="2819" width="23.28515625" style="50"/>
    <col min="2820" max="2820" width="13.140625" style="50" customWidth="1"/>
    <col min="2821" max="2821" width="58" style="50" customWidth="1"/>
    <col min="2822" max="2822" width="25" style="50" customWidth="1"/>
    <col min="2823" max="2823" width="20.7109375" style="50" customWidth="1"/>
    <col min="2824" max="2824" width="25" style="50" customWidth="1"/>
    <col min="2825" max="3059" width="9.140625" style="50" customWidth="1"/>
    <col min="3060" max="3060" width="6" style="50" customWidth="1"/>
    <col min="3061" max="3061" width="50.28515625" style="50" customWidth="1"/>
    <col min="3062" max="3063" width="0" style="50" hidden="1" customWidth="1"/>
    <col min="3064" max="3064" width="20.7109375" style="50" customWidth="1"/>
    <col min="3065" max="3065" width="23.28515625" style="50" customWidth="1"/>
    <col min="3066" max="3075" width="23.28515625" style="50"/>
    <col min="3076" max="3076" width="13.140625" style="50" customWidth="1"/>
    <col min="3077" max="3077" width="58" style="50" customWidth="1"/>
    <col min="3078" max="3078" width="25" style="50" customWidth="1"/>
    <col min="3079" max="3079" width="20.7109375" style="50" customWidth="1"/>
    <col min="3080" max="3080" width="25" style="50" customWidth="1"/>
    <col min="3081" max="3315" width="9.140625" style="50" customWidth="1"/>
    <col min="3316" max="3316" width="6" style="50" customWidth="1"/>
    <col min="3317" max="3317" width="50.28515625" style="50" customWidth="1"/>
    <col min="3318" max="3319" width="0" style="50" hidden="1" customWidth="1"/>
    <col min="3320" max="3320" width="20.7109375" style="50" customWidth="1"/>
    <col min="3321" max="3321" width="23.28515625" style="50" customWidth="1"/>
    <col min="3322" max="3331" width="23.28515625" style="50"/>
    <col min="3332" max="3332" width="13.140625" style="50" customWidth="1"/>
    <col min="3333" max="3333" width="58" style="50" customWidth="1"/>
    <col min="3334" max="3334" width="25" style="50" customWidth="1"/>
    <col min="3335" max="3335" width="20.7109375" style="50" customWidth="1"/>
    <col min="3336" max="3336" width="25" style="50" customWidth="1"/>
    <col min="3337" max="3571" width="9.140625" style="50" customWidth="1"/>
    <col min="3572" max="3572" width="6" style="50" customWidth="1"/>
    <col min="3573" max="3573" width="50.28515625" style="50" customWidth="1"/>
    <col min="3574" max="3575" width="0" style="50" hidden="1" customWidth="1"/>
    <col min="3576" max="3576" width="20.7109375" style="50" customWidth="1"/>
    <col min="3577" max="3577" width="23.28515625" style="50" customWidth="1"/>
    <col min="3578" max="3587" width="23.28515625" style="50"/>
    <col min="3588" max="3588" width="13.140625" style="50" customWidth="1"/>
    <col min="3589" max="3589" width="58" style="50" customWidth="1"/>
    <col min="3590" max="3590" width="25" style="50" customWidth="1"/>
    <col min="3591" max="3591" width="20.7109375" style="50" customWidth="1"/>
    <col min="3592" max="3592" width="25" style="50" customWidth="1"/>
    <col min="3593" max="3827" width="9.140625" style="50" customWidth="1"/>
    <col min="3828" max="3828" width="6" style="50" customWidth="1"/>
    <col min="3829" max="3829" width="50.28515625" style="50" customWidth="1"/>
    <col min="3830" max="3831" width="0" style="50" hidden="1" customWidth="1"/>
    <col min="3832" max="3832" width="20.7109375" style="50" customWidth="1"/>
    <col min="3833" max="3833" width="23.28515625" style="50" customWidth="1"/>
    <col min="3834" max="3843" width="23.28515625" style="50"/>
    <col min="3844" max="3844" width="13.140625" style="50" customWidth="1"/>
    <col min="3845" max="3845" width="58" style="50" customWidth="1"/>
    <col min="3846" max="3846" width="25" style="50" customWidth="1"/>
    <col min="3847" max="3847" width="20.7109375" style="50" customWidth="1"/>
    <col min="3848" max="3848" width="25" style="50" customWidth="1"/>
    <col min="3849" max="4083" width="9.140625" style="50" customWidth="1"/>
    <col min="4084" max="4084" width="6" style="50" customWidth="1"/>
    <col min="4085" max="4085" width="50.28515625" style="50" customWidth="1"/>
    <col min="4086" max="4087" width="0" style="50" hidden="1" customWidth="1"/>
    <col min="4088" max="4088" width="20.7109375" style="50" customWidth="1"/>
    <col min="4089" max="4089" width="23.28515625" style="50" customWidth="1"/>
    <col min="4090" max="4099" width="23.28515625" style="50"/>
    <col min="4100" max="4100" width="13.140625" style="50" customWidth="1"/>
    <col min="4101" max="4101" width="58" style="50" customWidth="1"/>
    <col min="4102" max="4102" width="25" style="50" customWidth="1"/>
    <col min="4103" max="4103" width="20.7109375" style="50" customWidth="1"/>
    <col min="4104" max="4104" width="25" style="50" customWidth="1"/>
    <col min="4105" max="4339" width="9.140625" style="50" customWidth="1"/>
    <col min="4340" max="4340" width="6" style="50" customWidth="1"/>
    <col min="4341" max="4341" width="50.28515625" style="50" customWidth="1"/>
    <col min="4342" max="4343" width="0" style="50" hidden="1" customWidth="1"/>
    <col min="4344" max="4344" width="20.7109375" style="50" customWidth="1"/>
    <col min="4345" max="4345" width="23.28515625" style="50" customWidth="1"/>
    <col min="4346" max="4355" width="23.28515625" style="50"/>
    <col min="4356" max="4356" width="13.140625" style="50" customWidth="1"/>
    <col min="4357" max="4357" width="58" style="50" customWidth="1"/>
    <col min="4358" max="4358" width="25" style="50" customWidth="1"/>
    <col min="4359" max="4359" width="20.7109375" style="50" customWidth="1"/>
    <col min="4360" max="4360" width="25" style="50" customWidth="1"/>
    <col min="4361" max="4595" width="9.140625" style="50" customWidth="1"/>
    <col min="4596" max="4596" width="6" style="50" customWidth="1"/>
    <col min="4597" max="4597" width="50.28515625" style="50" customWidth="1"/>
    <col min="4598" max="4599" width="0" style="50" hidden="1" customWidth="1"/>
    <col min="4600" max="4600" width="20.7109375" style="50" customWidth="1"/>
    <col min="4601" max="4601" width="23.28515625" style="50" customWidth="1"/>
    <col min="4602" max="4611" width="23.28515625" style="50"/>
    <col min="4612" max="4612" width="13.140625" style="50" customWidth="1"/>
    <col min="4613" max="4613" width="58" style="50" customWidth="1"/>
    <col min="4614" max="4614" width="25" style="50" customWidth="1"/>
    <col min="4615" max="4615" width="20.7109375" style="50" customWidth="1"/>
    <col min="4616" max="4616" width="25" style="50" customWidth="1"/>
    <col min="4617" max="4851" width="9.140625" style="50" customWidth="1"/>
    <col min="4852" max="4852" width="6" style="50" customWidth="1"/>
    <col min="4853" max="4853" width="50.28515625" style="50" customWidth="1"/>
    <col min="4854" max="4855" width="0" style="50" hidden="1" customWidth="1"/>
    <col min="4856" max="4856" width="20.7109375" style="50" customWidth="1"/>
    <col min="4857" max="4857" width="23.28515625" style="50" customWidth="1"/>
    <col min="4858" max="4867" width="23.28515625" style="50"/>
    <col min="4868" max="4868" width="13.140625" style="50" customWidth="1"/>
    <col min="4869" max="4869" width="58" style="50" customWidth="1"/>
    <col min="4870" max="4870" width="25" style="50" customWidth="1"/>
    <col min="4871" max="4871" width="20.7109375" style="50" customWidth="1"/>
    <col min="4872" max="4872" width="25" style="50" customWidth="1"/>
    <col min="4873" max="5107" width="9.140625" style="50" customWidth="1"/>
    <col min="5108" max="5108" width="6" style="50" customWidth="1"/>
    <col min="5109" max="5109" width="50.28515625" style="50" customWidth="1"/>
    <col min="5110" max="5111" width="0" style="50" hidden="1" customWidth="1"/>
    <col min="5112" max="5112" width="20.7109375" style="50" customWidth="1"/>
    <col min="5113" max="5113" width="23.28515625" style="50" customWidth="1"/>
    <col min="5114" max="5123" width="23.28515625" style="50"/>
    <col min="5124" max="5124" width="13.140625" style="50" customWidth="1"/>
    <col min="5125" max="5125" width="58" style="50" customWidth="1"/>
    <col min="5126" max="5126" width="25" style="50" customWidth="1"/>
    <col min="5127" max="5127" width="20.7109375" style="50" customWidth="1"/>
    <col min="5128" max="5128" width="25" style="50" customWidth="1"/>
    <col min="5129" max="5363" width="9.140625" style="50" customWidth="1"/>
    <col min="5364" max="5364" width="6" style="50" customWidth="1"/>
    <col min="5365" max="5365" width="50.28515625" style="50" customWidth="1"/>
    <col min="5366" max="5367" width="0" style="50" hidden="1" customWidth="1"/>
    <col min="5368" max="5368" width="20.7109375" style="50" customWidth="1"/>
    <col min="5369" max="5369" width="23.28515625" style="50" customWidth="1"/>
    <col min="5370" max="5379" width="23.28515625" style="50"/>
    <col min="5380" max="5380" width="13.140625" style="50" customWidth="1"/>
    <col min="5381" max="5381" width="58" style="50" customWidth="1"/>
    <col min="5382" max="5382" width="25" style="50" customWidth="1"/>
    <col min="5383" max="5383" width="20.7109375" style="50" customWidth="1"/>
    <col min="5384" max="5384" width="25" style="50" customWidth="1"/>
    <col min="5385" max="5619" width="9.140625" style="50" customWidth="1"/>
    <col min="5620" max="5620" width="6" style="50" customWidth="1"/>
    <col min="5621" max="5621" width="50.28515625" style="50" customWidth="1"/>
    <col min="5622" max="5623" width="0" style="50" hidden="1" customWidth="1"/>
    <col min="5624" max="5624" width="20.7109375" style="50" customWidth="1"/>
    <col min="5625" max="5625" width="23.28515625" style="50" customWidth="1"/>
    <col min="5626" max="5635" width="23.28515625" style="50"/>
    <col min="5636" max="5636" width="13.140625" style="50" customWidth="1"/>
    <col min="5637" max="5637" width="58" style="50" customWidth="1"/>
    <col min="5638" max="5638" width="25" style="50" customWidth="1"/>
    <col min="5639" max="5639" width="20.7109375" style="50" customWidth="1"/>
    <col min="5640" max="5640" width="25" style="50" customWidth="1"/>
    <col min="5641" max="5875" width="9.140625" style="50" customWidth="1"/>
    <col min="5876" max="5876" width="6" style="50" customWidth="1"/>
    <col min="5877" max="5877" width="50.28515625" style="50" customWidth="1"/>
    <col min="5878" max="5879" width="0" style="50" hidden="1" customWidth="1"/>
    <col min="5880" max="5880" width="20.7109375" style="50" customWidth="1"/>
    <col min="5881" max="5881" width="23.28515625" style="50" customWidth="1"/>
    <col min="5882" max="5891" width="23.28515625" style="50"/>
    <col min="5892" max="5892" width="13.140625" style="50" customWidth="1"/>
    <col min="5893" max="5893" width="58" style="50" customWidth="1"/>
    <col min="5894" max="5894" width="25" style="50" customWidth="1"/>
    <col min="5895" max="5895" width="20.7109375" style="50" customWidth="1"/>
    <col min="5896" max="5896" width="25" style="50" customWidth="1"/>
    <col min="5897" max="6131" width="9.140625" style="50" customWidth="1"/>
    <col min="6132" max="6132" width="6" style="50" customWidth="1"/>
    <col min="6133" max="6133" width="50.28515625" style="50" customWidth="1"/>
    <col min="6134" max="6135" width="0" style="50" hidden="1" customWidth="1"/>
    <col min="6136" max="6136" width="20.7109375" style="50" customWidth="1"/>
    <col min="6137" max="6137" width="23.28515625" style="50" customWidth="1"/>
    <col min="6138" max="6147" width="23.28515625" style="50"/>
    <col min="6148" max="6148" width="13.140625" style="50" customWidth="1"/>
    <col min="6149" max="6149" width="58" style="50" customWidth="1"/>
    <col min="6150" max="6150" width="25" style="50" customWidth="1"/>
    <col min="6151" max="6151" width="20.7109375" style="50" customWidth="1"/>
    <col min="6152" max="6152" width="25" style="50" customWidth="1"/>
    <col min="6153" max="6387" width="9.140625" style="50" customWidth="1"/>
    <col min="6388" max="6388" width="6" style="50" customWidth="1"/>
    <col min="6389" max="6389" width="50.28515625" style="50" customWidth="1"/>
    <col min="6390" max="6391" width="0" style="50" hidden="1" customWidth="1"/>
    <col min="6392" max="6392" width="20.7109375" style="50" customWidth="1"/>
    <col min="6393" max="6393" width="23.28515625" style="50" customWidth="1"/>
    <col min="6394" max="6403" width="23.28515625" style="50"/>
    <col min="6404" max="6404" width="13.140625" style="50" customWidth="1"/>
    <col min="6405" max="6405" width="58" style="50" customWidth="1"/>
    <col min="6406" max="6406" width="25" style="50" customWidth="1"/>
    <col min="6407" max="6407" width="20.7109375" style="50" customWidth="1"/>
    <col min="6408" max="6408" width="25" style="50" customWidth="1"/>
    <col min="6409" max="6643" width="9.140625" style="50" customWidth="1"/>
    <col min="6644" max="6644" width="6" style="50" customWidth="1"/>
    <col min="6645" max="6645" width="50.28515625" style="50" customWidth="1"/>
    <col min="6646" max="6647" width="0" style="50" hidden="1" customWidth="1"/>
    <col min="6648" max="6648" width="20.7109375" style="50" customWidth="1"/>
    <col min="6649" max="6649" width="23.28515625" style="50" customWidth="1"/>
    <col min="6650" max="6659" width="23.28515625" style="50"/>
    <col min="6660" max="6660" width="13.140625" style="50" customWidth="1"/>
    <col min="6661" max="6661" width="58" style="50" customWidth="1"/>
    <col min="6662" max="6662" width="25" style="50" customWidth="1"/>
    <col min="6663" max="6663" width="20.7109375" style="50" customWidth="1"/>
    <col min="6664" max="6664" width="25" style="50" customWidth="1"/>
    <col min="6665" max="6899" width="9.140625" style="50" customWidth="1"/>
    <col min="6900" max="6900" width="6" style="50" customWidth="1"/>
    <col min="6901" max="6901" width="50.28515625" style="50" customWidth="1"/>
    <col min="6902" max="6903" width="0" style="50" hidden="1" customWidth="1"/>
    <col min="6904" max="6904" width="20.7109375" style="50" customWidth="1"/>
    <col min="6905" max="6905" width="23.28515625" style="50" customWidth="1"/>
    <col min="6906" max="6915" width="23.28515625" style="50"/>
    <col min="6916" max="6916" width="13.140625" style="50" customWidth="1"/>
    <col min="6917" max="6917" width="58" style="50" customWidth="1"/>
    <col min="6918" max="6918" width="25" style="50" customWidth="1"/>
    <col min="6919" max="6919" width="20.7109375" style="50" customWidth="1"/>
    <col min="6920" max="6920" width="25" style="50" customWidth="1"/>
    <col min="6921" max="7155" width="9.140625" style="50" customWidth="1"/>
    <col min="7156" max="7156" width="6" style="50" customWidth="1"/>
    <col min="7157" max="7157" width="50.28515625" style="50" customWidth="1"/>
    <col min="7158" max="7159" width="0" style="50" hidden="1" customWidth="1"/>
    <col min="7160" max="7160" width="20.7109375" style="50" customWidth="1"/>
    <col min="7161" max="7161" width="23.28515625" style="50" customWidth="1"/>
    <col min="7162" max="7171" width="23.28515625" style="50"/>
    <col min="7172" max="7172" width="13.140625" style="50" customWidth="1"/>
    <col min="7173" max="7173" width="58" style="50" customWidth="1"/>
    <col min="7174" max="7174" width="25" style="50" customWidth="1"/>
    <col min="7175" max="7175" width="20.7109375" style="50" customWidth="1"/>
    <col min="7176" max="7176" width="25" style="50" customWidth="1"/>
    <col min="7177" max="7411" width="9.140625" style="50" customWidth="1"/>
    <col min="7412" max="7412" width="6" style="50" customWidth="1"/>
    <col min="7413" max="7413" width="50.28515625" style="50" customWidth="1"/>
    <col min="7414" max="7415" width="0" style="50" hidden="1" customWidth="1"/>
    <col min="7416" max="7416" width="20.7109375" style="50" customWidth="1"/>
    <col min="7417" max="7417" width="23.28515625" style="50" customWidth="1"/>
    <col min="7418" max="7427" width="23.28515625" style="50"/>
    <col min="7428" max="7428" width="13.140625" style="50" customWidth="1"/>
    <col min="7429" max="7429" width="58" style="50" customWidth="1"/>
    <col min="7430" max="7430" width="25" style="50" customWidth="1"/>
    <col min="7431" max="7431" width="20.7109375" style="50" customWidth="1"/>
    <col min="7432" max="7432" width="25" style="50" customWidth="1"/>
    <col min="7433" max="7667" width="9.140625" style="50" customWidth="1"/>
    <col min="7668" max="7668" width="6" style="50" customWidth="1"/>
    <col min="7669" max="7669" width="50.28515625" style="50" customWidth="1"/>
    <col min="7670" max="7671" width="0" style="50" hidden="1" customWidth="1"/>
    <col min="7672" max="7672" width="20.7109375" style="50" customWidth="1"/>
    <col min="7673" max="7673" width="23.28515625" style="50" customWidth="1"/>
    <col min="7674" max="7683" width="23.28515625" style="50"/>
    <col min="7684" max="7684" width="13.140625" style="50" customWidth="1"/>
    <col min="7685" max="7685" width="58" style="50" customWidth="1"/>
    <col min="7686" max="7686" width="25" style="50" customWidth="1"/>
    <col min="7687" max="7687" width="20.7109375" style="50" customWidth="1"/>
    <col min="7688" max="7688" width="25" style="50" customWidth="1"/>
    <col min="7689" max="7923" width="9.140625" style="50" customWidth="1"/>
    <col min="7924" max="7924" width="6" style="50" customWidth="1"/>
    <col min="7925" max="7925" width="50.28515625" style="50" customWidth="1"/>
    <col min="7926" max="7927" width="0" style="50" hidden="1" customWidth="1"/>
    <col min="7928" max="7928" width="20.7109375" style="50" customWidth="1"/>
    <col min="7929" max="7929" width="23.28515625" style="50" customWidth="1"/>
    <col min="7930" max="7939" width="23.28515625" style="50"/>
    <col min="7940" max="7940" width="13.140625" style="50" customWidth="1"/>
    <col min="7941" max="7941" width="58" style="50" customWidth="1"/>
    <col min="7942" max="7942" width="25" style="50" customWidth="1"/>
    <col min="7943" max="7943" width="20.7109375" style="50" customWidth="1"/>
    <col min="7944" max="7944" width="25" style="50" customWidth="1"/>
    <col min="7945" max="8179" width="9.140625" style="50" customWidth="1"/>
    <col min="8180" max="8180" width="6" style="50" customWidth="1"/>
    <col min="8181" max="8181" width="50.28515625" style="50" customWidth="1"/>
    <col min="8182" max="8183" width="0" style="50" hidden="1" customWidth="1"/>
    <col min="8184" max="8184" width="20.7109375" style="50" customWidth="1"/>
    <col min="8185" max="8185" width="23.28515625" style="50" customWidth="1"/>
    <col min="8186" max="8195" width="23.28515625" style="50"/>
    <col min="8196" max="8196" width="13.140625" style="50" customWidth="1"/>
    <col min="8197" max="8197" width="58" style="50" customWidth="1"/>
    <col min="8198" max="8198" width="25" style="50" customWidth="1"/>
    <col min="8199" max="8199" width="20.7109375" style="50" customWidth="1"/>
    <col min="8200" max="8200" width="25" style="50" customWidth="1"/>
    <col min="8201" max="8435" width="9.140625" style="50" customWidth="1"/>
    <col min="8436" max="8436" width="6" style="50" customWidth="1"/>
    <col min="8437" max="8437" width="50.28515625" style="50" customWidth="1"/>
    <col min="8438" max="8439" width="0" style="50" hidden="1" customWidth="1"/>
    <col min="8440" max="8440" width="20.7109375" style="50" customWidth="1"/>
    <col min="8441" max="8441" width="23.28515625" style="50" customWidth="1"/>
    <col min="8442" max="8451" width="23.28515625" style="50"/>
    <col min="8452" max="8452" width="13.140625" style="50" customWidth="1"/>
    <col min="8453" max="8453" width="58" style="50" customWidth="1"/>
    <col min="8454" max="8454" width="25" style="50" customWidth="1"/>
    <col min="8455" max="8455" width="20.7109375" style="50" customWidth="1"/>
    <col min="8456" max="8456" width="25" style="50" customWidth="1"/>
    <col min="8457" max="8691" width="9.140625" style="50" customWidth="1"/>
    <col min="8692" max="8692" width="6" style="50" customWidth="1"/>
    <col min="8693" max="8693" width="50.28515625" style="50" customWidth="1"/>
    <col min="8694" max="8695" width="0" style="50" hidden="1" customWidth="1"/>
    <col min="8696" max="8696" width="20.7109375" style="50" customWidth="1"/>
    <col min="8697" max="8697" width="23.28515625" style="50" customWidth="1"/>
    <col min="8698" max="8707" width="23.28515625" style="50"/>
    <col min="8708" max="8708" width="13.140625" style="50" customWidth="1"/>
    <col min="8709" max="8709" width="58" style="50" customWidth="1"/>
    <col min="8710" max="8710" width="25" style="50" customWidth="1"/>
    <col min="8711" max="8711" width="20.7109375" style="50" customWidth="1"/>
    <col min="8712" max="8712" width="25" style="50" customWidth="1"/>
    <col min="8713" max="8947" width="9.140625" style="50" customWidth="1"/>
    <col min="8948" max="8948" width="6" style="50" customWidth="1"/>
    <col min="8949" max="8949" width="50.28515625" style="50" customWidth="1"/>
    <col min="8950" max="8951" width="0" style="50" hidden="1" customWidth="1"/>
    <col min="8952" max="8952" width="20.7109375" style="50" customWidth="1"/>
    <col min="8953" max="8953" width="23.28515625" style="50" customWidth="1"/>
    <col min="8954" max="8963" width="23.28515625" style="50"/>
    <col min="8964" max="8964" width="13.140625" style="50" customWidth="1"/>
    <col min="8965" max="8965" width="58" style="50" customWidth="1"/>
    <col min="8966" max="8966" width="25" style="50" customWidth="1"/>
    <col min="8967" max="8967" width="20.7109375" style="50" customWidth="1"/>
    <col min="8968" max="8968" width="25" style="50" customWidth="1"/>
    <col min="8969" max="9203" width="9.140625" style="50" customWidth="1"/>
    <col min="9204" max="9204" width="6" style="50" customWidth="1"/>
    <col min="9205" max="9205" width="50.28515625" style="50" customWidth="1"/>
    <col min="9206" max="9207" width="0" style="50" hidden="1" customWidth="1"/>
    <col min="9208" max="9208" width="20.7109375" style="50" customWidth="1"/>
    <col min="9209" max="9209" width="23.28515625" style="50" customWidth="1"/>
    <col min="9210" max="9219" width="23.28515625" style="50"/>
    <col min="9220" max="9220" width="13.140625" style="50" customWidth="1"/>
    <col min="9221" max="9221" width="58" style="50" customWidth="1"/>
    <col min="9222" max="9222" width="25" style="50" customWidth="1"/>
    <col min="9223" max="9223" width="20.7109375" style="50" customWidth="1"/>
    <col min="9224" max="9224" width="25" style="50" customWidth="1"/>
    <col min="9225" max="9459" width="9.140625" style="50" customWidth="1"/>
    <col min="9460" max="9460" width="6" style="50" customWidth="1"/>
    <col min="9461" max="9461" width="50.28515625" style="50" customWidth="1"/>
    <col min="9462" max="9463" width="0" style="50" hidden="1" customWidth="1"/>
    <col min="9464" max="9464" width="20.7109375" style="50" customWidth="1"/>
    <col min="9465" max="9465" width="23.28515625" style="50" customWidth="1"/>
    <col min="9466" max="9475" width="23.28515625" style="50"/>
    <col min="9476" max="9476" width="13.140625" style="50" customWidth="1"/>
    <col min="9477" max="9477" width="58" style="50" customWidth="1"/>
    <col min="9478" max="9478" width="25" style="50" customWidth="1"/>
    <col min="9479" max="9479" width="20.7109375" style="50" customWidth="1"/>
    <col min="9480" max="9480" width="25" style="50" customWidth="1"/>
    <col min="9481" max="9715" width="9.140625" style="50" customWidth="1"/>
    <col min="9716" max="9716" width="6" style="50" customWidth="1"/>
    <col min="9717" max="9717" width="50.28515625" style="50" customWidth="1"/>
    <col min="9718" max="9719" width="0" style="50" hidden="1" customWidth="1"/>
    <col min="9720" max="9720" width="20.7109375" style="50" customWidth="1"/>
    <col min="9721" max="9721" width="23.28515625" style="50" customWidth="1"/>
    <col min="9722" max="9731" width="23.28515625" style="50"/>
    <col min="9732" max="9732" width="13.140625" style="50" customWidth="1"/>
    <col min="9733" max="9733" width="58" style="50" customWidth="1"/>
    <col min="9734" max="9734" width="25" style="50" customWidth="1"/>
    <col min="9735" max="9735" width="20.7109375" style="50" customWidth="1"/>
    <col min="9736" max="9736" width="25" style="50" customWidth="1"/>
    <col min="9737" max="9971" width="9.140625" style="50" customWidth="1"/>
    <col min="9972" max="9972" width="6" style="50" customWidth="1"/>
    <col min="9973" max="9973" width="50.28515625" style="50" customWidth="1"/>
    <col min="9974" max="9975" width="0" style="50" hidden="1" customWidth="1"/>
    <col min="9976" max="9976" width="20.7109375" style="50" customWidth="1"/>
    <col min="9977" max="9977" width="23.28515625" style="50" customWidth="1"/>
    <col min="9978" max="9987" width="23.28515625" style="50"/>
    <col min="9988" max="9988" width="13.140625" style="50" customWidth="1"/>
    <col min="9989" max="9989" width="58" style="50" customWidth="1"/>
    <col min="9990" max="9990" width="25" style="50" customWidth="1"/>
    <col min="9991" max="9991" width="20.7109375" style="50" customWidth="1"/>
    <col min="9992" max="9992" width="25" style="50" customWidth="1"/>
    <col min="9993" max="10227" width="9.140625" style="50" customWidth="1"/>
    <col min="10228" max="10228" width="6" style="50" customWidth="1"/>
    <col min="10229" max="10229" width="50.28515625" style="50" customWidth="1"/>
    <col min="10230" max="10231" width="0" style="50" hidden="1" customWidth="1"/>
    <col min="10232" max="10232" width="20.7109375" style="50" customWidth="1"/>
    <col min="10233" max="10233" width="23.28515625" style="50" customWidth="1"/>
    <col min="10234" max="10243" width="23.28515625" style="50"/>
    <col min="10244" max="10244" width="13.140625" style="50" customWidth="1"/>
    <col min="10245" max="10245" width="58" style="50" customWidth="1"/>
    <col min="10246" max="10246" width="25" style="50" customWidth="1"/>
    <col min="10247" max="10247" width="20.7109375" style="50" customWidth="1"/>
    <col min="10248" max="10248" width="25" style="50" customWidth="1"/>
    <col min="10249" max="10483" width="9.140625" style="50" customWidth="1"/>
    <col min="10484" max="10484" width="6" style="50" customWidth="1"/>
    <col min="10485" max="10485" width="50.28515625" style="50" customWidth="1"/>
    <col min="10486" max="10487" width="0" style="50" hidden="1" customWidth="1"/>
    <col min="10488" max="10488" width="20.7109375" style="50" customWidth="1"/>
    <col min="10489" max="10489" width="23.28515625" style="50" customWidth="1"/>
    <col min="10490" max="10499" width="23.28515625" style="50"/>
    <col min="10500" max="10500" width="13.140625" style="50" customWidth="1"/>
    <col min="10501" max="10501" width="58" style="50" customWidth="1"/>
    <col min="10502" max="10502" width="25" style="50" customWidth="1"/>
    <col min="10503" max="10503" width="20.7109375" style="50" customWidth="1"/>
    <col min="10504" max="10504" width="25" style="50" customWidth="1"/>
    <col min="10505" max="10739" width="9.140625" style="50" customWidth="1"/>
    <col min="10740" max="10740" width="6" style="50" customWidth="1"/>
    <col min="10741" max="10741" width="50.28515625" style="50" customWidth="1"/>
    <col min="10742" max="10743" width="0" style="50" hidden="1" customWidth="1"/>
    <col min="10744" max="10744" width="20.7109375" style="50" customWidth="1"/>
    <col min="10745" max="10745" width="23.28515625" style="50" customWidth="1"/>
    <col min="10746" max="10755" width="23.28515625" style="50"/>
    <col min="10756" max="10756" width="13.140625" style="50" customWidth="1"/>
    <col min="10757" max="10757" width="58" style="50" customWidth="1"/>
    <col min="10758" max="10758" width="25" style="50" customWidth="1"/>
    <col min="10759" max="10759" width="20.7109375" style="50" customWidth="1"/>
    <col min="10760" max="10760" width="25" style="50" customWidth="1"/>
    <col min="10761" max="10995" width="9.140625" style="50" customWidth="1"/>
    <col min="10996" max="10996" width="6" style="50" customWidth="1"/>
    <col min="10997" max="10997" width="50.28515625" style="50" customWidth="1"/>
    <col min="10998" max="10999" width="0" style="50" hidden="1" customWidth="1"/>
    <col min="11000" max="11000" width="20.7109375" style="50" customWidth="1"/>
    <col min="11001" max="11001" width="23.28515625" style="50" customWidth="1"/>
    <col min="11002" max="11011" width="23.28515625" style="50"/>
    <col min="11012" max="11012" width="13.140625" style="50" customWidth="1"/>
    <col min="11013" max="11013" width="58" style="50" customWidth="1"/>
    <col min="11014" max="11014" width="25" style="50" customWidth="1"/>
    <col min="11015" max="11015" width="20.7109375" style="50" customWidth="1"/>
    <col min="11016" max="11016" width="25" style="50" customWidth="1"/>
    <col min="11017" max="11251" width="9.140625" style="50" customWidth="1"/>
    <col min="11252" max="11252" width="6" style="50" customWidth="1"/>
    <col min="11253" max="11253" width="50.28515625" style="50" customWidth="1"/>
    <col min="11254" max="11255" width="0" style="50" hidden="1" customWidth="1"/>
    <col min="11256" max="11256" width="20.7109375" style="50" customWidth="1"/>
    <col min="11257" max="11257" width="23.28515625" style="50" customWidth="1"/>
    <col min="11258" max="11267" width="23.28515625" style="50"/>
    <col min="11268" max="11268" width="13.140625" style="50" customWidth="1"/>
    <col min="11269" max="11269" width="58" style="50" customWidth="1"/>
    <col min="11270" max="11270" width="25" style="50" customWidth="1"/>
    <col min="11271" max="11271" width="20.7109375" style="50" customWidth="1"/>
    <col min="11272" max="11272" width="25" style="50" customWidth="1"/>
    <col min="11273" max="11507" width="9.140625" style="50" customWidth="1"/>
    <col min="11508" max="11508" width="6" style="50" customWidth="1"/>
    <col min="11509" max="11509" width="50.28515625" style="50" customWidth="1"/>
    <col min="11510" max="11511" width="0" style="50" hidden="1" customWidth="1"/>
    <col min="11512" max="11512" width="20.7109375" style="50" customWidth="1"/>
    <col min="11513" max="11513" width="23.28515625" style="50" customWidth="1"/>
    <col min="11514" max="11523" width="23.28515625" style="50"/>
    <col min="11524" max="11524" width="13.140625" style="50" customWidth="1"/>
    <col min="11525" max="11525" width="58" style="50" customWidth="1"/>
    <col min="11526" max="11526" width="25" style="50" customWidth="1"/>
    <col min="11527" max="11527" width="20.7109375" style="50" customWidth="1"/>
    <col min="11528" max="11528" width="25" style="50" customWidth="1"/>
    <col min="11529" max="11763" width="9.140625" style="50" customWidth="1"/>
    <col min="11764" max="11764" width="6" style="50" customWidth="1"/>
    <col min="11765" max="11765" width="50.28515625" style="50" customWidth="1"/>
    <col min="11766" max="11767" width="0" style="50" hidden="1" customWidth="1"/>
    <col min="11768" max="11768" width="20.7109375" style="50" customWidth="1"/>
    <col min="11769" max="11769" width="23.28515625" style="50" customWidth="1"/>
    <col min="11770" max="11779" width="23.28515625" style="50"/>
    <col min="11780" max="11780" width="13.140625" style="50" customWidth="1"/>
    <col min="11781" max="11781" width="58" style="50" customWidth="1"/>
    <col min="11782" max="11782" width="25" style="50" customWidth="1"/>
    <col min="11783" max="11783" width="20.7109375" style="50" customWidth="1"/>
    <col min="11784" max="11784" width="25" style="50" customWidth="1"/>
    <col min="11785" max="12019" width="9.140625" style="50" customWidth="1"/>
    <col min="12020" max="12020" width="6" style="50" customWidth="1"/>
    <col min="12021" max="12021" width="50.28515625" style="50" customWidth="1"/>
    <col min="12022" max="12023" width="0" style="50" hidden="1" customWidth="1"/>
    <col min="12024" max="12024" width="20.7109375" style="50" customWidth="1"/>
    <col min="12025" max="12025" width="23.28515625" style="50" customWidth="1"/>
    <col min="12026" max="12035" width="23.28515625" style="50"/>
    <col min="12036" max="12036" width="13.140625" style="50" customWidth="1"/>
    <col min="12037" max="12037" width="58" style="50" customWidth="1"/>
    <col min="12038" max="12038" width="25" style="50" customWidth="1"/>
    <col min="12039" max="12039" width="20.7109375" style="50" customWidth="1"/>
    <col min="12040" max="12040" width="25" style="50" customWidth="1"/>
    <col min="12041" max="12275" width="9.140625" style="50" customWidth="1"/>
    <col min="12276" max="12276" width="6" style="50" customWidth="1"/>
    <col min="12277" max="12277" width="50.28515625" style="50" customWidth="1"/>
    <col min="12278" max="12279" width="0" style="50" hidden="1" customWidth="1"/>
    <col min="12280" max="12280" width="20.7109375" style="50" customWidth="1"/>
    <col min="12281" max="12281" width="23.28515625" style="50" customWidth="1"/>
    <col min="12282" max="12291" width="23.28515625" style="50"/>
    <col min="12292" max="12292" width="13.140625" style="50" customWidth="1"/>
    <col min="12293" max="12293" width="58" style="50" customWidth="1"/>
    <col min="12294" max="12294" width="25" style="50" customWidth="1"/>
    <col min="12295" max="12295" width="20.7109375" style="50" customWidth="1"/>
    <col min="12296" max="12296" width="25" style="50" customWidth="1"/>
    <col min="12297" max="12531" width="9.140625" style="50" customWidth="1"/>
    <col min="12532" max="12532" width="6" style="50" customWidth="1"/>
    <col min="12533" max="12533" width="50.28515625" style="50" customWidth="1"/>
    <col min="12534" max="12535" width="0" style="50" hidden="1" customWidth="1"/>
    <col min="12536" max="12536" width="20.7109375" style="50" customWidth="1"/>
    <col min="12537" max="12537" width="23.28515625" style="50" customWidth="1"/>
    <col min="12538" max="12547" width="23.28515625" style="50"/>
    <col min="12548" max="12548" width="13.140625" style="50" customWidth="1"/>
    <col min="12549" max="12549" width="58" style="50" customWidth="1"/>
    <col min="12550" max="12550" width="25" style="50" customWidth="1"/>
    <col min="12551" max="12551" width="20.7109375" style="50" customWidth="1"/>
    <col min="12552" max="12552" width="25" style="50" customWidth="1"/>
    <col min="12553" max="12787" width="9.140625" style="50" customWidth="1"/>
    <col min="12788" max="12788" width="6" style="50" customWidth="1"/>
    <col min="12789" max="12789" width="50.28515625" style="50" customWidth="1"/>
    <col min="12790" max="12791" width="0" style="50" hidden="1" customWidth="1"/>
    <col min="12792" max="12792" width="20.7109375" style="50" customWidth="1"/>
    <col min="12793" max="12793" width="23.28515625" style="50" customWidth="1"/>
    <col min="12794" max="12803" width="23.28515625" style="50"/>
    <col min="12804" max="12804" width="13.140625" style="50" customWidth="1"/>
    <col min="12805" max="12805" width="58" style="50" customWidth="1"/>
    <col min="12806" max="12806" width="25" style="50" customWidth="1"/>
    <col min="12807" max="12807" width="20.7109375" style="50" customWidth="1"/>
    <col min="12808" max="12808" width="25" style="50" customWidth="1"/>
    <col min="12809" max="13043" width="9.140625" style="50" customWidth="1"/>
    <col min="13044" max="13044" width="6" style="50" customWidth="1"/>
    <col min="13045" max="13045" width="50.28515625" style="50" customWidth="1"/>
    <col min="13046" max="13047" width="0" style="50" hidden="1" customWidth="1"/>
    <col min="13048" max="13048" width="20.7109375" style="50" customWidth="1"/>
    <col min="13049" max="13049" width="23.28515625" style="50" customWidth="1"/>
    <col min="13050" max="13059" width="23.28515625" style="50"/>
    <col min="13060" max="13060" width="13.140625" style="50" customWidth="1"/>
    <col min="13061" max="13061" width="58" style="50" customWidth="1"/>
    <col min="13062" max="13062" width="25" style="50" customWidth="1"/>
    <col min="13063" max="13063" width="20.7109375" style="50" customWidth="1"/>
    <col min="13064" max="13064" width="25" style="50" customWidth="1"/>
    <col min="13065" max="13299" width="9.140625" style="50" customWidth="1"/>
    <col min="13300" max="13300" width="6" style="50" customWidth="1"/>
    <col min="13301" max="13301" width="50.28515625" style="50" customWidth="1"/>
    <col min="13302" max="13303" width="0" style="50" hidden="1" customWidth="1"/>
    <col min="13304" max="13304" width="20.7109375" style="50" customWidth="1"/>
    <col min="13305" max="13305" width="23.28515625" style="50" customWidth="1"/>
    <col min="13306" max="13315" width="23.28515625" style="50"/>
    <col min="13316" max="13316" width="13.140625" style="50" customWidth="1"/>
    <col min="13317" max="13317" width="58" style="50" customWidth="1"/>
    <col min="13318" max="13318" width="25" style="50" customWidth="1"/>
    <col min="13319" max="13319" width="20.7109375" style="50" customWidth="1"/>
    <col min="13320" max="13320" width="25" style="50" customWidth="1"/>
    <col min="13321" max="13555" width="9.140625" style="50" customWidth="1"/>
    <col min="13556" max="13556" width="6" style="50" customWidth="1"/>
    <col min="13557" max="13557" width="50.28515625" style="50" customWidth="1"/>
    <col min="13558" max="13559" width="0" style="50" hidden="1" customWidth="1"/>
    <col min="13560" max="13560" width="20.7109375" style="50" customWidth="1"/>
    <col min="13561" max="13561" width="23.28515625" style="50" customWidth="1"/>
    <col min="13562" max="13571" width="23.28515625" style="50"/>
    <col min="13572" max="13572" width="13.140625" style="50" customWidth="1"/>
    <col min="13573" max="13573" width="58" style="50" customWidth="1"/>
    <col min="13574" max="13574" width="25" style="50" customWidth="1"/>
    <col min="13575" max="13575" width="20.7109375" style="50" customWidth="1"/>
    <col min="13576" max="13576" width="25" style="50" customWidth="1"/>
    <col min="13577" max="13811" width="9.140625" style="50" customWidth="1"/>
    <col min="13812" max="13812" width="6" style="50" customWidth="1"/>
    <col min="13813" max="13813" width="50.28515625" style="50" customWidth="1"/>
    <col min="13814" max="13815" width="0" style="50" hidden="1" customWidth="1"/>
    <col min="13816" max="13816" width="20.7109375" style="50" customWidth="1"/>
    <col min="13817" max="13817" width="23.28515625" style="50" customWidth="1"/>
    <col min="13818" max="13827" width="23.28515625" style="50"/>
    <col min="13828" max="13828" width="13.140625" style="50" customWidth="1"/>
    <col min="13829" max="13829" width="58" style="50" customWidth="1"/>
    <col min="13830" max="13830" width="25" style="50" customWidth="1"/>
    <col min="13831" max="13831" width="20.7109375" style="50" customWidth="1"/>
    <col min="13832" max="13832" width="25" style="50" customWidth="1"/>
    <col min="13833" max="14067" width="9.140625" style="50" customWidth="1"/>
    <col min="14068" max="14068" width="6" style="50" customWidth="1"/>
    <col min="14069" max="14069" width="50.28515625" style="50" customWidth="1"/>
    <col min="14070" max="14071" width="0" style="50" hidden="1" customWidth="1"/>
    <col min="14072" max="14072" width="20.7109375" style="50" customWidth="1"/>
    <col min="14073" max="14073" width="23.28515625" style="50" customWidth="1"/>
    <col min="14074" max="14083" width="23.28515625" style="50"/>
    <col min="14084" max="14084" width="13.140625" style="50" customWidth="1"/>
    <col min="14085" max="14085" width="58" style="50" customWidth="1"/>
    <col min="14086" max="14086" width="25" style="50" customWidth="1"/>
    <col min="14087" max="14087" width="20.7109375" style="50" customWidth="1"/>
    <col min="14088" max="14088" width="25" style="50" customWidth="1"/>
    <col min="14089" max="14323" width="9.140625" style="50" customWidth="1"/>
    <col min="14324" max="14324" width="6" style="50" customWidth="1"/>
    <col min="14325" max="14325" width="50.28515625" style="50" customWidth="1"/>
    <col min="14326" max="14327" width="0" style="50" hidden="1" customWidth="1"/>
    <col min="14328" max="14328" width="20.7109375" style="50" customWidth="1"/>
    <col min="14329" max="14329" width="23.28515625" style="50" customWidth="1"/>
    <col min="14330" max="14339" width="23.28515625" style="50"/>
    <col min="14340" max="14340" width="13.140625" style="50" customWidth="1"/>
    <col min="14341" max="14341" width="58" style="50" customWidth="1"/>
    <col min="14342" max="14342" width="25" style="50" customWidth="1"/>
    <col min="14343" max="14343" width="20.7109375" style="50" customWidth="1"/>
    <col min="14344" max="14344" width="25" style="50" customWidth="1"/>
    <col min="14345" max="14579" width="9.140625" style="50" customWidth="1"/>
    <col min="14580" max="14580" width="6" style="50" customWidth="1"/>
    <col min="14581" max="14581" width="50.28515625" style="50" customWidth="1"/>
    <col min="14582" max="14583" width="0" style="50" hidden="1" customWidth="1"/>
    <col min="14584" max="14584" width="20.7109375" style="50" customWidth="1"/>
    <col min="14585" max="14585" width="23.28515625" style="50" customWidth="1"/>
    <col min="14586" max="14595" width="23.28515625" style="50"/>
    <col min="14596" max="14596" width="13.140625" style="50" customWidth="1"/>
    <col min="14597" max="14597" width="58" style="50" customWidth="1"/>
    <col min="14598" max="14598" width="25" style="50" customWidth="1"/>
    <col min="14599" max="14599" width="20.7109375" style="50" customWidth="1"/>
    <col min="14600" max="14600" width="25" style="50" customWidth="1"/>
    <col min="14601" max="14835" width="9.140625" style="50" customWidth="1"/>
    <col min="14836" max="14836" width="6" style="50" customWidth="1"/>
    <col min="14837" max="14837" width="50.28515625" style="50" customWidth="1"/>
    <col min="14838" max="14839" width="0" style="50" hidden="1" customWidth="1"/>
    <col min="14840" max="14840" width="20.7109375" style="50" customWidth="1"/>
    <col min="14841" max="14841" width="23.28515625" style="50" customWidth="1"/>
    <col min="14842" max="14851" width="23.28515625" style="50"/>
    <col min="14852" max="14852" width="13.140625" style="50" customWidth="1"/>
    <col min="14853" max="14853" width="58" style="50" customWidth="1"/>
    <col min="14854" max="14854" width="25" style="50" customWidth="1"/>
    <col min="14855" max="14855" width="20.7109375" style="50" customWidth="1"/>
    <col min="14856" max="14856" width="25" style="50" customWidth="1"/>
    <col min="14857" max="15091" width="9.140625" style="50" customWidth="1"/>
    <col min="15092" max="15092" width="6" style="50" customWidth="1"/>
    <col min="15093" max="15093" width="50.28515625" style="50" customWidth="1"/>
    <col min="15094" max="15095" width="0" style="50" hidden="1" customWidth="1"/>
    <col min="15096" max="15096" width="20.7109375" style="50" customWidth="1"/>
    <col min="15097" max="15097" width="23.28515625" style="50" customWidth="1"/>
    <col min="15098" max="15107" width="23.28515625" style="50"/>
    <col min="15108" max="15108" width="13.140625" style="50" customWidth="1"/>
    <col min="15109" max="15109" width="58" style="50" customWidth="1"/>
    <col min="15110" max="15110" width="25" style="50" customWidth="1"/>
    <col min="15111" max="15111" width="20.7109375" style="50" customWidth="1"/>
    <col min="15112" max="15112" width="25" style="50" customWidth="1"/>
    <col min="15113" max="15347" width="9.140625" style="50" customWidth="1"/>
    <col min="15348" max="15348" width="6" style="50" customWidth="1"/>
    <col min="15349" max="15349" width="50.28515625" style="50" customWidth="1"/>
    <col min="15350" max="15351" width="0" style="50" hidden="1" customWidth="1"/>
    <col min="15352" max="15352" width="20.7109375" style="50" customWidth="1"/>
    <col min="15353" max="15353" width="23.28515625" style="50" customWidth="1"/>
    <col min="15354" max="15363" width="23.28515625" style="50"/>
    <col min="15364" max="15364" width="13.140625" style="50" customWidth="1"/>
    <col min="15365" max="15365" width="58" style="50" customWidth="1"/>
    <col min="15366" max="15366" width="25" style="50" customWidth="1"/>
    <col min="15367" max="15367" width="20.7109375" style="50" customWidth="1"/>
    <col min="15368" max="15368" width="25" style="50" customWidth="1"/>
    <col min="15369" max="15603" width="9.140625" style="50" customWidth="1"/>
    <col min="15604" max="15604" width="6" style="50" customWidth="1"/>
    <col min="15605" max="15605" width="50.28515625" style="50" customWidth="1"/>
    <col min="15606" max="15607" width="0" style="50" hidden="1" customWidth="1"/>
    <col min="15608" max="15608" width="20.7109375" style="50" customWidth="1"/>
    <col min="15609" max="15609" width="23.28515625" style="50" customWidth="1"/>
    <col min="15610" max="15619" width="23.28515625" style="50"/>
    <col min="15620" max="15620" width="13.140625" style="50" customWidth="1"/>
    <col min="15621" max="15621" width="58" style="50" customWidth="1"/>
    <col min="15622" max="15622" width="25" style="50" customWidth="1"/>
    <col min="15623" max="15623" width="20.7109375" style="50" customWidth="1"/>
    <col min="15624" max="15624" width="25" style="50" customWidth="1"/>
    <col min="15625" max="15859" width="9.140625" style="50" customWidth="1"/>
    <col min="15860" max="15860" width="6" style="50" customWidth="1"/>
    <col min="15861" max="15861" width="50.28515625" style="50" customWidth="1"/>
    <col min="15862" max="15863" width="0" style="50" hidden="1" customWidth="1"/>
    <col min="15864" max="15864" width="20.7109375" style="50" customWidth="1"/>
    <col min="15865" max="15865" width="23.28515625" style="50" customWidth="1"/>
    <col min="15866" max="15875" width="23.28515625" style="50"/>
    <col min="15876" max="15876" width="13.140625" style="50" customWidth="1"/>
    <col min="15877" max="15877" width="58" style="50" customWidth="1"/>
    <col min="15878" max="15878" width="25" style="50" customWidth="1"/>
    <col min="15879" max="15879" width="20.7109375" style="50" customWidth="1"/>
    <col min="15880" max="15880" width="25" style="50" customWidth="1"/>
    <col min="15881" max="16115" width="9.140625" style="50" customWidth="1"/>
    <col min="16116" max="16116" width="6" style="50" customWidth="1"/>
    <col min="16117" max="16117" width="50.28515625" style="50" customWidth="1"/>
    <col min="16118" max="16119" width="0" style="50" hidden="1" customWidth="1"/>
    <col min="16120" max="16120" width="20.7109375" style="50" customWidth="1"/>
    <col min="16121" max="16121" width="23.28515625" style="50" customWidth="1"/>
    <col min="16122" max="16131" width="23.28515625" style="50"/>
    <col min="16132" max="16132" width="13.140625" style="50" customWidth="1"/>
    <col min="16133" max="16133" width="58" style="50" customWidth="1"/>
    <col min="16134" max="16134" width="25" style="50" customWidth="1"/>
    <col min="16135" max="16135" width="20.7109375" style="50" customWidth="1"/>
    <col min="16136" max="16136" width="25" style="50" customWidth="1"/>
    <col min="16137" max="16371" width="9.140625" style="50" customWidth="1"/>
    <col min="16372" max="16372" width="6" style="50" customWidth="1"/>
    <col min="16373" max="16373" width="50.28515625" style="50" customWidth="1"/>
    <col min="16374" max="16375" width="0" style="50" hidden="1" customWidth="1"/>
    <col min="16376" max="16376" width="20.7109375" style="50" customWidth="1"/>
    <col min="16377" max="16377" width="23.28515625" style="50" customWidth="1"/>
    <col min="16378" max="16384" width="23.28515625" style="50"/>
  </cols>
  <sheetData>
    <row r="1" spans="1:249" ht="15.75">
      <c r="A1" s="513" t="s">
        <v>140</v>
      </c>
      <c r="B1" s="513"/>
      <c r="C1" s="513"/>
      <c r="D1" s="513"/>
      <c r="E1" s="513"/>
      <c r="F1" s="513"/>
      <c r="G1" s="513"/>
      <c r="H1" s="513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</row>
    <row r="2" spans="1:249" ht="15.75">
      <c r="A2" s="513" t="s">
        <v>141</v>
      </c>
      <c r="B2" s="513"/>
      <c r="C2" s="513"/>
      <c r="D2" s="513"/>
      <c r="E2" s="513"/>
      <c r="F2" s="513"/>
      <c r="G2" s="513"/>
      <c r="H2" s="513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</row>
    <row r="3" spans="1:249" ht="15.75"/>
    <row r="4" spans="1:249" ht="15.75">
      <c r="A4" s="55" t="s">
        <v>106</v>
      </c>
      <c r="B4" s="56" t="s">
        <v>142</v>
      </c>
      <c r="C4" s="57" t="s">
        <v>506</v>
      </c>
      <c r="D4" s="57" t="s">
        <v>507</v>
      </c>
      <c r="E4" s="55" t="s">
        <v>426</v>
      </c>
      <c r="F4" s="55" t="s">
        <v>427</v>
      </c>
      <c r="G4" s="55" t="s">
        <v>428</v>
      </c>
      <c r="H4" s="57" t="s">
        <v>429</v>
      </c>
    </row>
    <row r="5" spans="1:249" ht="15.75">
      <c r="A5" s="58"/>
      <c r="B5" s="59" t="s">
        <v>2</v>
      </c>
      <c r="C5" s="60">
        <f>+C7+C14</f>
        <v>76347046223</v>
      </c>
      <c r="D5" s="60">
        <f>+D7+D14</f>
        <v>42101135517</v>
      </c>
      <c r="E5" s="60">
        <f>+E7+E14</f>
        <v>47619928121</v>
      </c>
      <c r="F5" s="60">
        <f>+F7+F14</f>
        <v>56132797910</v>
      </c>
      <c r="G5" s="60">
        <f>+G7+G14</f>
        <v>56132797910</v>
      </c>
      <c r="H5" s="60">
        <f>+H7-H14</f>
        <v>31285133560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</row>
    <row r="6" spans="1:249" ht="15.75">
      <c r="A6" s="58"/>
      <c r="B6" s="59"/>
      <c r="C6" s="60"/>
      <c r="D6" s="60"/>
      <c r="E6" s="60"/>
      <c r="F6" s="60"/>
      <c r="G6" s="60"/>
      <c r="H6" s="60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</row>
    <row r="7" spans="1:249" ht="15.75">
      <c r="A7" s="58"/>
      <c r="B7" s="59" t="s">
        <v>494</v>
      </c>
      <c r="C7" s="60">
        <f t="shared" ref="C7:H7" si="0">SUM(C8:C12)</f>
        <v>70661542087</v>
      </c>
      <c r="D7" s="60">
        <f t="shared" si="0"/>
        <v>32862368468</v>
      </c>
      <c r="E7" s="60">
        <f t="shared" si="0"/>
        <v>40192735521</v>
      </c>
      <c r="F7" s="60">
        <f t="shared" si="0"/>
        <v>46485138890</v>
      </c>
      <c r="G7" s="60">
        <f t="shared" si="0"/>
        <v>46485138890</v>
      </c>
      <c r="H7" s="60">
        <f t="shared" si="0"/>
        <v>46248247504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</row>
    <row r="8" spans="1:249" ht="15.75">
      <c r="A8" s="61"/>
      <c r="B8" s="62" t="s">
        <v>496</v>
      </c>
      <c r="C8" s="63">
        <v>56880649463</v>
      </c>
      <c r="D8" s="63">
        <v>30233284008</v>
      </c>
      <c r="E8" s="63">
        <v>39779853641</v>
      </c>
      <c r="F8" s="63">
        <v>46221398450</v>
      </c>
      <c r="G8" s="63">
        <v>46221398450</v>
      </c>
      <c r="H8" s="63">
        <v>44156820949</v>
      </c>
    </row>
    <row r="9" spans="1:249" ht="15.75">
      <c r="A9" s="66"/>
      <c r="B9" s="67" t="s">
        <v>499</v>
      </c>
      <c r="C9" s="68">
        <v>10426478900</v>
      </c>
      <c r="D9" s="68"/>
      <c r="E9" s="68"/>
      <c r="F9" s="68"/>
      <c r="G9" s="68"/>
      <c r="H9" s="68">
        <v>0</v>
      </c>
    </row>
    <row r="10" spans="1:249" ht="15.75">
      <c r="A10" s="66"/>
      <c r="B10" s="67" t="s">
        <v>497</v>
      </c>
      <c r="C10" s="68"/>
      <c r="D10" s="68"/>
      <c r="E10" s="68"/>
      <c r="F10" s="68"/>
      <c r="G10" s="68"/>
      <c r="H10" s="68"/>
    </row>
    <row r="11" spans="1:249" ht="15.75">
      <c r="A11" s="66"/>
      <c r="B11" s="67" t="s">
        <v>503</v>
      </c>
      <c r="C11" s="68">
        <v>3354413724</v>
      </c>
      <c r="D11" s="68">
        <v>2629084460</v>
      </c>
      <c r="E11" s="68">
        <v>412881880</v>
      </c>
      <c r="F11" s="68">
        <v>263740440</v>
      </c>
      <c r="G11" s="68">
        <v>263740440</v>
      </c>
      <c r="H11" s="68">
        <v>2091426555</v>
      </c>
    </row>
    <row r="12" spans="1:249" ht="15.75">
      <c r="A12" s="66"/>
      <c r="B12" s="67" t="s">
        <v>498</v>
      </c>
      <c r="C12" s="68"/>
      <c r="D12" s="68"/>
      <c r="E12" s="68"/>
      <c r="F12" s="68"/>
      <c r="G12" s="68"/>
      <c r="H12" s="68"/>
    </row>
    <row r="13" spans="1:249" ht="15.75">
      <c r="A13" s="390"/>
      <c r="B13" s="391"/>
      <c r="C13" s="392"/>
      <c r="D13" s="392"/>
      <c r="E13" s="392"/>
      <c r="F13" s="392"/>
      <c r="G13" s="392"/>
      <c r="H13" s="392"/>
    </row>
    <row r="14" spans="1:249" ht="15.75">
      <c r="A14" s="58"/>
      <c r="B14" s="59" t="s">
        <v>495</v>
      </c>
      <c r="C14" s="60">
        <f>SUM(C15:C18)</f>
        <v>5685504136</v>
      </c>
      <c r="D14" s="60">
        <f t="shared" ref="D14:H14" si="1">SUM(D15:D18)</f>
        <v>9238767049</v>
      </c>
      <c r="E14" s="75">
        <f t="shared" si="1"/>
        <v>7427192600</v>
      </c>
      <c r="F14" s="60">
        <f t="shared" si="1"/>
        <v>9647659020</v>
      </c>
      <c r="G14" s="60">
        <f t="shared" ref="G14" si="2">SUM(G15:G18)</f>
        <v>9647659020</v>
      </c>
      <c r="H14" s="60">
        <f t="shared" si="1"/>
        <v>14963113944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</row>
    <row r="15" spans="1:249" ht="15.75">
      <c r="A15" s="61"/>
      <c r="B15" s="62" t="s">
        <v>500</v>
      </c>
      <c r="C15" s="63"/>
      <c r="D15" s="63"/>
      <c r="E15" s="63"/>
      <c r="F15" s="63">
        <v>5000000000</v>
      </c>
      <c r="G15" s="63">
        <v>5000000000</v>
      </c>
      <c r="H15" s="63">
        <v>7826780813</v>
      </c>
    </row>
    <row r="16" spans="1:249" ht="15.75">
      <c r="A16" s="66"/>
      <c r="B16" s="67" t="s">
        <v>501</v>
      </c>
      <c r="C16" s="68">
        <v>2808209990</v>
      </c>
      <c r="D16" s="68">
        <v>4012700750</v>
      </c>
      <c r="E16" s="68">
        <v>4860240000</v>
      </c>
      <c r="F16" s="68">
        <v>2515000000</v>
      </c>
      <c r="G16" s="68">
        <v>2515000000</v>
      </c>
      <c r="H16" s="68">
        <v>3004945750</v>
      </c>
    </row>
    <row r="17" spans="1:8" ht="15.75">
      <c r="A17" s="393"/>
      <c r="B17" s="394" t="s">
        <v>4</v>
      </c>
      <c r="C17" s="395"/>
      <c r="D17" s="395">
        <v>1216506415</v>
      </c>
      <c r="E17" s="395"/>
      <c r="F17" s="395"/>
      <c r="G17" s="395"/>
      <c r="H17" s="395">
        <v>0</v>
      </c>
    </row>
    <row r="18" spans="1:8" s="54" customFormat="1" ht="15.75">
      <c r="A18" s="71"/>
      <c r="B18" s="72" t="s">
        <v>502</v>
      </c>
      <c r="C18" s="73">
        <v>2877294146</v>
      </c>
      <c r="D18" s="73">
        <v>4009559884</v>
      </c>
      <c r="E18" s="73">
        <v>2566952600</v>
      </c>
      <c r="F18" s="73">
        <v>2132659020</v>
      </c>
      <c r="G18" s="73">
        <v>2132659020</v>
      </c>
      <c r="H18" s="73">
        <v>4131387381</v>
      </c>
    </row>
    <row r="19" spans="1:8" s="54" customFormat="1" ht="15.75">
      <c r="A19" s="76"/>
      <c r="B19" s="77"/>
      <c r="C19" s="53"/>
      <c r="D19" s="53"/>
    </row>
    <row r="20" spans="1:8" s="54" customFormat="1" ht="15.75">
      <c r="A20" s="51"/>
      <c r="B20" s="52"/>
      <c r="C20" s="53"/>
      <c r="D20" s="53"/>
      <c r="E20" s="78"/>
      <c r="F20" s="78"/>
      <c r="G20" s="78"/>
      <c r="H20" s="79"/>
    </row>
    <row r="21" spans="1:8" s="54" customFormat="1" ht="15.75">
      <c r="A21" s="51"/>
      <c r="B21" s="52"/>
      <c r="C21" s="80"/>
      <c r="D21" s="80"/>
      <c r="E21" s="79"/>
      <c r="F21" s="79"/>
      <c r="G21" s="79"/>
      <c r="H21" s="81"/>
    </row>
    <row r="22" spans="1:8" s="54" customFormat="1" ht="15.75">
      <c r="A22" s="51"/>
      <c r="B22" s="52"/>
      <c r="C22" s="80" t="s">
        <v>139</v>
      </c>
      <c r="D22" s="80"/>
      <c r="E22" s="79"/>
      <c r="F22" s="79"/>
      <c r="G22" s="79"/>
      <c r="H22" s="81">
        <v>15000000</v>
      </c>
    </row>
    <row r="23" spans="1:8" s="54" customFormat="1" ht="15.75">
      <c r="A23" s="51"/>
      <c r="B23" s="52"/>
      <c r="C23" s="80" t="s">
        <v>139</v>
      </c>
      <c r="D23" s="80"/>
      <c r="E23" s="79"/>
      <c r="F23" s="79"/>
      <c r="G23" s="79"/>
      <c r="H23" s="81">
        <v>25000000</v>
      </c>
    </row>
    <row r="24" spans="1:8" s="54" customFormat="1" ht="15.75">
      <c r="A24" s="51"/>
      <c r="B24" s="52"/>
      <c r="C24" s="80"/>
      <c r="D24" s="80"/>
      <c r="E24" s="81"/>
      <c r="F24" s="81"/>
      <c r="G24" s="81"/>
      <c r="H24" s="79"/>
    </row>
    <row r="25" spans="1:8" s="54" customFormat="1" ht="15.75">
      <c r="A25" s="51"/>
      <c r="B25" s="52"/>
      <c r="C25" s="80"/>
      <c r="D25" s="80"/>
      <c r="E25" s="81">
        <f>SUM(E20:E24)</f>
        <v>0</v>
      </c>
      <c r="F25" s="81"/>
      <c r="G25" s="81"/>
      <c r="H25" s="81">
        <f>SUM(H20:H24)</f>
        <v>40000000</v>
      </c>
    </row>
    <row r="26" spans="1:8" s="54" customFormat="1" ht="15.75">
      <c r="A26" s="51"/>
      <c r="B26" s="52"/>
      <c r="C26" s="80"/>
      <c r="D26" s="80"/>
      <c r="E26" s="79"/>
      <c r="F26" s="79"/>
      <c r="G26" s="79"/>
      <c r="H26" s="79"/>
    </row>
    <row r="27" spans="1:8" s="54" customFormat="1" ht="15.75">
      <c r="A27" s="51"/>
      <c r="B27" s="52"/>
      <c r="C27" s="80"/>
      <c r="D27" s="80"/>
      <c r="E27" s="514">
        <f>H25+E25</f>
        <v>40000000</v>
      </c>
      <c r="F27" s="514"/>
      <c r="G27" s="514"/>
      <c r="H27" s="514"/>
    </row>
    <row r="28" spans="1:8" s="54" customFormat="1" ht="15.75">
      <c r="A28" s="51"/>
      <c r="B28" s="52"/>
      <c r="C28" s="80"/>
      <c r="D28" s="80"/>
      <c r="E28" s="79"/>
      <c r="F28" s="79"/>
      <c r="G28" s="79"/>
      <c r="H28" s="79"/>
    </row>
    <row r="29" spans="1:8" s="54" customFormat="1" ht="15.75">
      <c r="A29" s="51"/>
      <c r="B29" s="52"/>
      <c r="C29" s="80"/>
      <c r="D29" s="80"/>
      <c r="E29" s="79"/>
      <c r="F29" s="79"/>
      <c r="G29" s="79"/>
      <c r="H29" s="79"/>
    </row>
  </sheetData>
  <mergeCells count="3">
    <mergeCell ref="A1:H1"/>
    <mergeCell ref="A2:H2"/>
    <mergeCell ref="E27:H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Realisasi Pendapatan</vt:lpstr>
      <vt:lpstr>Realisasi Belanja</vt:lpstr>
      <vt:lpstr>Realisasi aparatur</vt:lpstr>
      <vt:lpstr>Analisis</vt:lpstr>
      <vt:lpstr>Realisasi Wajib dan mengikat</vt:lpstr>
      <vt:lpstr>Proyeksi Wajib dan mengikat </vt:lpstr>
      <vt:lpstr>Tutup Defisit</vt:lpstr>
      <vt:lpstr>Komposisi Tutup Defisit</vt:lpstr>
      <vt:lpstr>Realisasi Silpa</vt:lpstr>
      <vt:lpstr>Silpa Riil</vt:lpstr>
      <vt:lpstr>Proyeksi Silpa Riil</vt:lpstr>
      <vt:lpstr>Kapasitas Riil</vt:lpstr>
      <vt:lpstr>Ren. penggu kapas. riil</vt:lpstr>
      <vt:lpstr>Kerangka Pendanaan</vt:lpstr>
      <vt:lpstr>APBD</vt:lpstr>
      <vt:lpstr>APBD (2)</vt:lpstr>
      <vt:lpstr>Kap Riil</vt:lpstr>
      <vt:lpstr>Defisit</vt:lpstr>
      <vt:lpstr>Realisasi pembiayaan</vt:lpstr>
      <vt:lpstr>Renacana pendapatan</vt:lpstr>
      <vt:lpstr>Pro-Pdpt</vt:lpstr>
      <vt:lpstr>BELANJA WAJIB (2)</vt:lpstr>
      <vt:lpstr>Pro-Blj</vt:lpstr>
      <vt:lpstr>rekap blj wajib</vt:lpstr>
      <vt:lpstr>Rencana Pembiayaan</vt:lpstr>
      <vt:lpstr>Sheet12</vt:lpstr>
      <vt:lpstr>APBD!Print_Area</vt:lpstr>
      <vt:lpstr>'APBD (2)'!Print_Area</vt:lpstr>
      <vt:lpstr>'Kap Riil'!Print_Area</vt:lpstr>
      <vt:lpstr>'Proyeksi Wajib dan mengikat '!Print_Area</vt:lpstr>
      <vt:lpstr>'Renacana pendapatan'!Print_Area</vt:lpstr>
      <vt:lpstr>'Renacana pendapatan'!Print_Titles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win7</cp:lastModifiedBy>
  <cp:lastPrinted>2014-02-11T02:23:52Z</cp:lastPrinted>
  <dcterms:created xsi:type="dcterms:W3CDTF">2014-01-25T02:16:29Z</dcterms:created>
  <dcterms:modified xsi:type="dcterms:W3CDTF">2014-02-11T04:13:55Z</dcterms:modified>
</cp:coreProperties>
</file>